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9JjLfYm+9zWLtQnGatVZAhaL/9zDmIWBGcl4eQ6nZ79/ZDwsCbJMvurDDAOGRGz3CY7uj/0R5sq/r3fMxD+qg==" workbookSaltValue="JqvqiH/vqJF0wq3VeHqpO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W13" i="20"/>
  <c r="BV21" i="16"/>
  <c r="BU29" i="17"/>
  <c r="BV11" i="16"/>
  <c r="BU20" i="17"/>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Y14" i="8"/>
  <c r="I10" i="3"/>
  <c r="E10" i="3"/>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S25" i="17"/>
  <c r="AA29" i="16"/>
  <c r="BV9" i="16"/>
  <c r="BU12" i="17"/>
  <c r="BW21" i="20"/>
  <c r="BV22" i="16"/>
  <c r="BU13" i="17"/>
  <c r="BW10" i="20"/>
  <c r="BW28" i="20"/>
  <c r="BU19" i="17"/>
  <c r="S21" i="17"/>
  <c r="BU9" i="17"/>
  <c r="BW16" i="20"/>
  <c r="BV25" i="16"/>
  <c r="BW17" i="20"/>
  <c r="BV17" i="16"/>
  <c r="BU21" i="17"/>
  <c r="BU11" i="17"/>
  <c r="BJ28" i="11"/>
  <c r="AZ9" i="11"/>
  <c r="AZ14" i="11" s="1"/>
  <c r="AZ13" i="11"/>
  <c r="BI19" i="11"/>
  <c r="BI25" i="11"/>
  <c r="BG22" i="11"/>
  <c r="Q18" i="20"/>
  <c r="Q23" i="20" s="1"/>
  <c r="V16" i="11"/>
  <c r="Z14" i="17"/>
  <c r="BW11" i="20"/>
  <c r="X21" i="16"/>
  <c r="BV16" i="16"/>
  <c r="BU22" i="17"/>
  <c r="BW12" i="20"/>
  <c r="BW25" i="20"/>
  <c r="BV12" i="16"/>
  <c r="BU10" i="17"/>
  <c r="BW18" i="20"/>
  <c r="BV13" i="16"/>
  <c r="BV28" i="16"/>
  <c r="BU25" i="17"/>
  <c r="BG21" i="11"/>
  <c r="AP18" i="20"/>
  <c r="AP26" i="21"/>
  <c r="BG19" i="11"/>
  <c r="V20" i="11"/>
  <c r="AP16" i="20"/>
  <c r="BJ16" i="11"/>
  <c r="V9" i="11"/>
  <c r="BM12" i="11"/>
  <c r="V11" i="11"/>
  <c r="BK29" i="11"/>
  <c r="BG20" i="11"/>
  <c r="BF28" i="11"/>
  <c r="BH16" i="16"/>
  <c r="BF13" i="11"/>
  <c r="BH9" i="16"/>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<sst xmlns="http://schemas.openxmlformats.org/spreadsheetml/2006/main" count="2682" uniqueCount="1193">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</sst>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1izcVrvTFdpF3n2YiW2dOTgG9rvLjYQSCWmRYt3hPThtIqPrzcm1+NBGRV3ll8WUks1CsvNy74NbaiGxd/vg==" saltValue="26RgSpVOTnDdOhWFGFUp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5</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7.5533333333333328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5</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432</v>
      </c>
      <c r="D17" s="239">
        <f>IF(ISNUMBER(IF(D_I="SI",Datos!I17,Datos!I17+Datos!AC17)),IF(D_I="SI",Datos!I17,Datos!I17+Datos!AC17)," - ")</f>
        <v>408</v>
      </c>
      <c r="E17" s="240">
        <f>IF(ISNUMBER(IF(D_I="SI",Datos!J17,Datos!J17+Datos!AD17)),IF(D_I="SI",Datos!J17,Datos!J17+Datos!AD17)," - ")</f>
        <v>494</v>
      </c>
      <c r="F17" s="240">
        <f>IF(ISNUMBER(IF(D_I="SI",Datos!K17,Datos!K17+Datos!AE17)),IF(D_I="SI",Datos!K17,Datos!K17+Datos!AE17)," - ")</f>
        <v>280</v>
      </c>
      <c r="G17" s="1390" t="str">
        <f>IF(Datos!E17&lt;&gt;"",Datos!E17,Datos!D17)</f>
        <v>04</v>
      </c>
      <c r="H17" s="241">
        <f>IF(ISNUMBER(IF(D_I="SI",Datos!L17,Datos!L17+Datos!AF17)),IF(D_I="SI",Datos!L17,Datos!L17+Datos!AF17)," - ")</f>
        <v>646</v>
      </c>
      <c r="I17" s="1400" t="str">
        <f>IF(ISNUMBER(Datos!AS17/Datos!BM17),Datos!AS17/Datos!BM17," - ")</f>
        <v xml:space="preserve"> - </v>
      </c>
      <c r="J17" s="1401">
        <f>IF(ISNUMBER(Datos!BY17/Datos!CN17),Datos!BY17/Datos!CN17," - ")</f>
        <v>0</v>
      </c>
      <c r="K17" s="244">
        <f t="shared" si="3"/>
        <v>0.49537037037037035</v>
      </c>
      <c r="L17" s="1402">
        <f>IF(ISNUMBER(NºAsuntos!I17/NºAsuntos!G17),(NºAsuntos!I17/NºAsuntos!G17)*11," - ")</f>
        <v>25.378571428571426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21</v>
      </c>
      <c r="F18" s="240">
        <f>IF(ISNUMBER(IF(D_I="SI",Datos!K18,Datos!K18+Datos!AE18)),IF(D_I="SI",Datos!K18,Datos!K18+Datos!AE18)," - ")</f>
        <v>12</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0.69230769230769229</v>
      </c>
      <c r="L18" s="1402">
        <f>IF(ISNUMBER(NºAsuntos!I18/NºAsuntos!G18),(NºAsuntos!I18/NºAsuntos!G18)*11," - ")</f>
        <v>20.166666666666664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445</v>
      </c>
      <c r="D23" s="1407">
        <f>SUBTOTAL(9,D16:D22)</f>
        <v>421</v>
      </c>
      <c r="E23" s="1408">
        <f>SUBTOTAL(9,E16:E22)</f>
        <v>515</v>
      </c>
      <c r="F23" s="1408">
        <f>SUBTOTAL(9,F16:F22)</f>
        <v>292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445</v>
      </c>
      <c r="D31" s="1435">
        <f>SUBTOTAL(9,D9:D30)</f>
        <v>421</v>
      </c>
      <c r="E31" s="1436">
        <f>SUBTOTAL(9,E9:E30)</f>
        <v>520</v>
      </c>
      <c r="F31" s="1436">
        <f>SUBTOTAL(9,F9:F30)</f>
        <v>296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IxF1hTgEjg3dK/dy2mRMM6tuS1Osa4js/XoQ074cT59xWCMx9Yx5UtgxPH8M3pgc3JPb1ML6sMsgfnpvZqtbg==" saltValue="eDxeuEcMdgI3J6oJYaXEX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Tnzn5iaiFcJelUo/2MVvHlUpU7aicbIn0/qSSpb5kk9dLJg9+Lb3OgMrVXdfh0NQElmlUty4XPRV58XHUA7/w==" saltValue="suxt0IwxgeI9hHKnvXx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5</v>
      </c>
      <c r="K10" s="194">
        <v>4</v>
      </c>
      <c r="L10" s="194">
        <v>1</v>
      </c>
      <c r="M10" s="194">
        <v>0</v>
      </c>
      <c r="N10" s="194">
        <v>0</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282</v>
      </c>
      <c r="J12" s="196">
        <v>500</v>
      </c>
      <c r="K12" s="196">
        <v>368</v>
      </c>
      <c r="L12" s="196">
        <v>282</v>
      </c>
      <c r="M12" s="196">
        <v>102</v>
      </c>
      <c r="N12" s="196">
        <v>172</v>
      </c>
      <c r="O12" s="194">
        <v>207</v>
      </c>
      <c r="P12" s="196">
        <v>117</v>
      </c>
      <c r="Q12" s="196">
        <v>202</v>
      </c>
      <c r="R12" s="196">
        <v>308</v>
      </c>
      <c r="S12" s="196">
        <v>285</v>
      </c>
      <c r="T12" s="196">
        <v>452</v>
      </c>
      <c r="U12" s="196">
        <v>455</v>
      </c>
      <c r="V12" s="196">
        <v>282</v>
      </c>
      <c r="W12" s="196">
        <v>146</v>
      </c>
      <c r="X12" s="202">
        <v>231</v>
      </c>
      <c r="Y12" s="204">
        <v>110</v>
      </c>
      <c r="Z12" s="194">
        <v>75</v>
      </c>
      <c r="AA12" s="194">
        <v>82</v>
      </c>
      <c r="AB12" s="194">
        <v>27</v>
      </c>
      <c r="AC12" s="196">
        <v>0</v>
      </c>
      <c r="AD12" s="196">
        <v>0</v>
      </c>
      <c r="AE12" s="196">
        <v>0</v>
      </c>
      <c r="AF12" s="202">
        <v>0</v>
      </c>
      <c r="AG12" s="215">
        <v>80</v>
      </c>
      <c r="AH12" s="196">
        <v>168</v>
      </c>
      <c r="AI12" s="196">
        <v>138</v>
      </c>
      <c r="AJ12" s="216">
        <v>110</v>
      </c>
      <c r="AK12" s="195">
        <v>0</v>
      </c>
      <c r="AL12" s="196">
        <v>0</v>
      </c>
      <c r="AM12" s="196">
        <v>0</v>
      </c>
      <c r="AN12" s="202">
        <v>0</v>
      </c>
      <c r="AO12" s="283">
        <v>1</v>
      </c>
      <c r="AP12" s="168">
        <v>1</v>
      </c>
      <c r="AQ12" s="168">
        <v>1</v>
      </c>
      <c r="AR12" s="167">
        <v>1</v>
      </c>
      <c r="AS12" s="381" t="s">
        <v>1075</v>
      </c>
      <c r="AT12" s="216"/>
      <c r="AU12" s="215"/>
      <c r="AV12" s="216"/>
      <c r="AW12" s="215"/>
      <c r="AX12" s="216"/>
      <c r="AY12" s="136">
        <f t="shared" si="1"/>
        <v>365</v>
      </c>
      <c r="AZ12" s="137">
        <f t="shared" si="1"/>
        <v>620</v>
      </c>
      <c r="BA12" s="137">
        <f t="shared" si="1"/>
        <v>593</v>
      </c>
      <c r="BB12" s="137">
        <f t="shared" si="1"/>
        <v>392</v>
      </c>
      <c r="BC12" s="135">
        <f>IF(ISNUMBER(X12),X12," - ")</f>
        <v>231</v>
      </c>
      <c r="BD12" s="136">
        <f t="shared" si="2"/>
        <v>0.95645161290322578</v>
      </c>
      <c r="BE12" s="137">
        <f t="shared" si="3"/>
        <v>0.66104553119730181</v>
      </c>
      <c r="BF12" s="137">
        <f t="shared" si="4"/>
        <v>0.38954468802698144</v>
      </c>
      <c r="BG12" s="209">
        <f t="shared" si="5"/>
        <v>1.6610455311973018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282</v>
      </c>
      <c r="J14" s="197">
        <f t="shared" si="7"/>
        <v>505</v>
      </c>
      <c r="K14" s="197">
        <f t="shared" si="7"/>
        <v>372</v>
      </c>
      <c r="L14" s="197">
        <f t="shared" si="7"/>
        <v>283</v>
      </c>
      <c r="M14" s="197">
        <f t="shared" si="7"/>
        <v>102</v>
      </c>
      <c r="N14" s="197">
        <f t="shared" si="7"/>
        <v>172</v>
      </c>
      <c r="O14" s="197">
        <f t="shared" si="7"/>
        <v>207</v>
      </c>
      <c r="P14" s="197">
        <f t="shared" si="7"/>
        <v>117</v>
      </c>
      <c r="Q14" s="197">
        <f t="shared" si="7"/>
        <v>202</v>
      </c>
      <c r="R14" s="197">
        <f t="shared" si="7"/>
        <v>308</v>
      </c>
      <c r="S14" s="197">
        <f t="shared" si="7"/>
        <v>285</v>
      </c>
      <c r="T14" s="197">
        <f t="shared" si="7"/>
        <v>453</v>
      </c>
      <c r="U14" s="197">
        <f t="shared" si="7"/>
        <v>456</v>
      </c>
      <c r="V14" s="197">
        <f t="shared" si="7"/>
        <v>282</v>
      </c>
      <c r="W14" s="197">
        <f t="shared" si="7"/>
        <v>146</v>
      </c>
      <c r="X14" s="197">
        <f t="shared" si="7"/>
        <v>231</v>
      </c>
      <c r="Y14" s="197">
        <f t="shared" si="7"/>
        <v>110</v>
      </c>
      <c r="Z14" s="197">
        <f t="shared" si="7"/>
        <v>75</v>
      </c>
      <c r="AA14" s="197">
        <f t="shared" si="7"/>
        <v>82</v>
      </c>
      <c r="AB14" s="197">
        <f t="shared" si="7"/>
        <v>27</v>
      </c>
      <c r="AC14" s="197">
        <f t="shared" si="7"/>
        <v>0</v>
      </c>
      <c r="AD14" s="197">
        <f t="shared" si="7"/>
        <v>0</v>
      </c>
      <c r="AE14" s="197">
        <f t="shared" si="7"/>
        <v>0</v>
      </c>
      <c r="AF14" s="197">
        <f>SUBTOTAL(9,AF9:AF13)</f>
        <v>0</v>
      </c>
      <c r="AG14" s="197">
        <f t="shared" ref="AG14:AT14" si="8">SUBTOTAL(9,AG8:AG13)</f>
        <v>80</v>
      </c>
      <c r="AH14" s="197">
        <f t="shared" si="8"/>
        <v>168</v>
      </c>
      <c r="AI14" s="197">
        <f t="shared" si="8"/>
        <v>138</v>
      </c>
      <c r="AJ14" s="197">
        <f t="shared" si="8"/>
        <v>110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365</v>
      </c>
      <c r="AZ14" s="197">
        <f>SUBTOTAL(9,AZ8:AZ13)</f>
        <v>621</v>
      </c>
      <c r="BA14" s="197">
        <f>SUBTOTAL(9,BA8:BA13)</f>
        <v>594</v>
      </c>
      <c r="BB14" s="197">
        <f>SUBTOTAL(9,BB8:BB13)</f>
        <v>392</v>
      </c>
      <c r="BC14" s="197">
        <f>SUBTOTAL(9,BC8:BC13)</f>
        <v>231</v>
      </c>
      <c r="BD14" s="219">
        <f>IF(ISNUMBER(BA14/AZ14),BA14/AZ14," - ")</f>
        <v>0.95652173913043481</v>
      </c>
      <c r="BE14" s="220">
        <f>IF(ISNUMBER(BB14/BA14),BB14/BA14, " - ")</f>
        <v>0.65993265993265993</v>
      </c>
      <c r="BF14" s="220">
        <f>IF(ISNUMBER(BC14/BA14),BC14/BA14, " - ")</f>
        <v>0.3888888888888889</v>
      </c>
      <c r="BG14" s="221">
        <f>IF(ISNUMBER((AY14+AZ14)/BA14),(AY14+AZ14)/BA14," - ")</f>
        <v>1.65993265993266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408</v>
      </c>
      <c r="J17" s="196">
        <v>494</v>
      </c>
      <c r="K17" s="196">
        <v>280</v>
      </c>
      <c r="L17" s="196">
        <v>646</v>
      </c>
      <c r="M17" s="196">
        <v>62</v>
      </c>
      <c r="N17" s="196">
        <v>158</v>
      </c>
      <c r="O17" s="194">
        <v>11</v>
      </c>
      <c r="P17" s="196">
        <v>9</v>
      </c>
      <c r="Q17" s="196">
        <v>18</v>
      </c>
      <c r="R17" s="196">
        <v>5</v>
      </c>
      <c r="S17" s="196">
        <v>265</v>
      </c>
      <c r="T17" s="196">
        <v>528</v>
      </c>
      <c r="U17" s="196">
        <v>367</v>
      </c>
      <c r="V17" s="196">
        <v>408</v>
      </c>
      <c r="W17" s="196">
        <v>93</v>
      </c>
      <c r="X17" s="202">
        <v>170</v>
      </c>
      <c r="Y17" s="215">
        <v>0</v>
      </c>
      <c r="Z17" s="196">
        <v>0</v>
      </c>
      <c r="AA17" s="196">
        <v>0</v>
      </c>
      <c r="AB17" s="196">
        <v>0</v>
      </c>
      <c r="AC17" s="196">
        <v>0</v>
      </c>
      <c r="AD17" s="196">
        <v>3</v>
      </c>
      <c r="AE17" s="196">
        <v>3</v>
      </c>
      <c r="AF17" s="202">
        <v>0</v>
      </c>
      <c r="AG17" s="215">
        <v>0</v>
      </c>
      <c r="AH17" s="196">
        <v>0</v>
      </c>
      <c r="AI17" s="196">
        <v>0</v>
      </c>
      <c r="AJ17" s="216">
        <v>0</v>
      </c>
      <c r="AK17" s="195">
        <v>2</v>
      </c>
      <c r="AL17" s="196">
        <v>11</v>
      </c>
      <c r="AM17" s="196">
        <v>13</v>
      </c>
      <c r="AN17" s="202">
        <v>0</v>
      </c>
      <c r="AO17" s="283">
        <v>1</v>
      </c>
      <c r="AP17" s="168">
        <v>1</v>
      </c>
      <c r="AQ17" s="168">
        <v>1</v>
      </c>
      <c r="AR17" s="168">
        <v>1</v>
      </c>
      <c r="AS17" s="381" t="s">
        <v>650</v>
      </c>
      <c r="AT17" s="216"/>
      <c r="AU17" s="215"/>
      <c r="AV17" s="216"/>
      <c r="AW17" s="215"/>
      <c r="AX17" s="216"/>
      <c r="AY17" s="136">
        <f t="shared" si="10"/>
        <v>265</v>
      </c>
      <c r="AZ17" s="137">
        <f t="shared" si="10"/>
        <v>528</v>
      </c>
      <c r="BA17" s="137">
        <f t="shared" si="10"/>
        <v>367</v>
      </c>
      <c r="BB17" s="137">
        <f t="shared" si="10"/>
        <v>408</v>
      </c>
      <c r="BC17" s="135">
        <f>IF(ISNUMBER(W17),W17," - ")</f>
        <v>93</v>
      </c>
      <c r="BD17" s="136">
        <f t="shared" ref="BD17:BD22" si="12">IF(ISNUMBER(BA17/AZ17),BA17/AZ17," - ")</f>
        <v>0.69507575757575757</v>
      </c>
      <c r="BE17" s="137">
        <f t="shared" ref="BE17:BE22" si="13">IF(ISNUMBER(BB17/BA17),BB17/BA17, " - ")</f>
        <v>1.111716621253406</v>
      </c>
      <c r="BF17" s="137">
        <f t="shared" ref="BF17:BF22" si="14">IF(ISNUMBER(BC17/BA17),BC17/BA17, " - ")</f>
        <v>0.25340599455040874</v>
      </c>
      <c r="BG17" s="209">
        <f t="shared" si="11"/>
        <v>2.1607629427792916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21</v>
      </c>
      <c r="K18" s="196">
        <v>12</v>
      </c>
      <c r="L18" s="196">
        <v>22</v>
      </c>
      <c r="M18" s="196">
        <v>0</v>
      </c>
      <c r="N18" s="196">
        <v>14</v>
      </c>
      <c r="O18" s="196">
        <v>0</v>
      </c>
      <c r="P18" s="196">
        <v>0</v>
      </c>
      <c r="Q18" s="196">
        <v>0</v>
      </c>
      <c r="R18" s="196">
        <v>0</v>
      </c>
      <c r="S18" s="196">
        <v>14</v>
      </c>
      <c r="T18" s="196">
        <v>27</v>
      </c>
      <c r="U18" s="196">
        <v>28</v>
      </c>
      <c r="V18" s="196">
        <v>13</v>
      </c>
      <c r="W18" s="196">
        <v>0</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27</v>
      </c>
      <c r="BA18" s="139">
        <f t="shared" si="15"/>
        <v>28</v>
      </c>
      <c r="BB18" s="139">
        <f t="shared" si="15"/>
        <v>13</v>
      </c>
      <c r="BC18" s="135">
        <f>IF(ISNUMBER(W18),W18," - ")</f>
        <v>0</v>
      </c>
      <c r="BD18" s="136">
        <f>IF(ISNUMBER(BA18/AZ18),BA18/AZ18," - ")</f>
        <v>1.037037037037037</v>
      </c>
      <c r="BE18" s="137">
        <f>IF(ISNUMBER(BB18/BA18),BB18/BA18, " - ")</f>
        <v>0.4642857142857143</v>
      </c>
      <c r="BF18" s="137">
        <f>IF(ISNUMBER(BC18/BA18),BC18/BA18, " - ")</f>
        <v>0</v>
      </c>
      <c r="BG18" s="209">
        <f>IF(ISNUMBER((AY18+AZ18)/BA18),(AY18+AZ18)/BA18," - ")</f>
        <v>1.4642857142857142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421</v>
      </c>
      <c r="J23" s="197">
        <f t="shared" si="21"/>
        <v>515</v>
      </c>
      <c r="K23" s="197">
        <f t="shared" si="21"/>
        <v>292</v>
      </c>
      <c r="L23" s="197">
        <f t="shared" si="21"/>
        <v>668</v>
      </c>
      <c r="M23" s="197">
        <f t="shared" si="21"/>
        <v>62</v>
      </c>
      <c r="N23" s="197">
        <f t="shared" si="21"/>
        <v>172</v>
      </c>
      <c r="O23" s="197">
        <f t="shared" si="21"/>
        <v>11</v>
      </c>
      <c r="P23" s="197">
        <f t="shared" si="21"/>
        <v>9</v>
      </c>
      <c r="Q23" s="197">
        <f t="shared" si="21"/>
        <v>18</v>
      </c>
      <c r="R23" s="197">
        <f t="shared" si="21"/>
        <v>5</v>
      </c>
      <c r="S23" s="197">
        <f t="shared" si="21"/>
        <v>279</v>
      </c>
      <c r="T23" s="197">
        <f t="shared" si="21"/>
        <v>555</v>
      </c>
      <c r="U23" s="197">
        <f t="shared" si="21"/>
        <v>395</v>
      </c>
      <c r="V23" s="197">
        <f t="shared" si="21"/>
        <v>421</v>
      </c>
      <c r="W23" s="197">
        <f t="shared" si="21"/>
        <v>93</v>
      </c>
      <c r="X23" s="197">
        <f t="shared" si="21"/>
        <v>189</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2</v>
      </c>
      <c r="AL23" s="197">
        <f t="shared" si="21"/>
        <v>11</v>
      </c>
      <c r="AM23" s="197">
        <f t="shared" si="21"/>
        <v>13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279</v>
      </c>
      <c r="AZ23" s="197">
        <f>SUBTOTAL(9,AZ15:AZ22)</f>
        <v>555</v>
      </c>
      <c r="BA23" s="197">
        <f>SUBTOTAL(9,BA15:BA22)</f>
        <v>395</v>
      </c>
      <c r="BB23" s="197">
        <f>SUBTOTAL(9,BB15:BB22)</f>
        <v>421</v>
      </c>
      <c r="BC23" s="197">
        <f>SUBTOTAL(9,BC15:BC22)</f>
        <v>93</v>
      </c>
      <c r="BD23" s="219">
        <f>IF(ISNUMBER(BA23/AZ23),BA23/AZ23," - ")</f>
        <v>0.71171171171171166</v>
      </c>
      <c r="BE23" s="220">
        <f>IF(ISNUMBER(BB23/BA23),BB23/BA23, " - ")</f>
        <v>1.0658227848101265</v>
      </c>
      <c r="BF23" s="220">
        <f>IF(ISNUMBER(BC23/BA23),BC23/BA23, " - ")</f>
        <v>0.23544303797468355</v>
      </c>
      <c r="BG23" s="221">
        <f>IF(ISNUMBER((AY23+AZ23)/BA23),(AY23+AZ23)/BA23," - ")</f>
        <v>2.1113924050632913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703</v>
      </c>
      <c r="J31" s="144">
        <f t="shared" si="36"/>
        <v>1020</v>
      </c>
      <c r="K31" s="144">
        <f t="shared" si="36"/>
        <v>664</v>
      </c>
      <c r="L31" s="144">
        <f t="shared" si="36"/>
        <v>951</v>
      </c>
      <c r="M31" s="144">
        <f t="shared" si="36"/>
        <v>164</v>
      </c>
      <c r="N31" s="144">
        <f t="shared" si="36"/>
        <v>344</v>
      </c>
      <c r="O31" s="144">
        <f t="shared" si="36"/>
        <v>218</v>
      </c>
      <c r="P31" s="144">
        <f t="shared" si="36"/>
        <v>126</v>
      </c>
      <c r="Q31" s="144">
        <f t="shared" si="36"/>
        <v>220</v>
      </c>
      <c r="R31" s="144">
        <f t="shared" si="36"/>
        <v>313</v>
      </c>
      <c r="S31" s="144">
        <f t="shared" si="36"/>
        <v>564</v>
      </c>
      <c r="T31" s="144">
        <f t="shared" si="36"/>
        <v>1008</v>
      </c>
      <c r="U31" s="144">
        <f t="shared" si="36"/>
        <v>851</v>
      </c>
      <c r="V31" s="144">
        <f t="shared" si="36"/>
        <v>703</v>
      </c>
      <c r="W31" s="144">
        <f t="shared" si="36"/>
        <v>239</v>
      </c>
      <c r="X31" s="144">
        <f t="shared" si="36"/>
        <v>420</v>
      </c>
      <c r="Y31" s="144">
        <f t="shared" si="36"/>
        <v>110</v>
      </c>
      <c r="Z31" s="144">
        <f t="shared" si="36"/>
        <v>75</v>
      </c>
      <c r="AA31" s="144">
        <f t="shared" si="36"/>
        <v>82</v>
      </c>
      <c r="AB31" s="144">
        <f t="shared" si="36"/>
        <v>27</v>
      </c>
      <c r="AC31" s="144">
        <f t="shared" si="36"/>
        <v>0</v>
      </c>
      <c r="AD31" s="144">
        <f t="shared" si="36"/>
        <v>3</v>
      </c>
      <c r="AE31" s="144">
        <f t="shared" si="36"/>
        <v>3</v>
      </c>
      <c r="AF31" s="144">
        <f t="shared" si="36"/>
        <v>0</v>
      </c>
      <c r="AG31" s="144">
        <f t="shared" si="36"/>
        <v>80</v>
      </c>
      <c r="AH31" s="144">
        <f t="shared" si="36"/>
        <v>168</v>
      </c>
      <c r="AI31" s="144">
        <f t="shared" si="36"/>
        <v>138</v>
      </c>
      <c r="AJ31" s="144">
        <f t="shared" si="36"/>
        <v>110</v>
      </c>
      <c r="AK31" s="144">
        <f t="shared" si="36"/>
        <v>2</v>
      </c>
      <c r="AL31" s="144">
        <f t="shared" si="36"/>
        <v>11</v>
      </c>
      <c r="AM31" s="144">
        <f t="shared" si="36"/>
        <v>13</v>
      </c>
      <c r="AN31" s="224">
        <f t="shared" si="36"/>
        <v>0</v>
      </c>
      <c r="AO31" s="225">
        <v>2</v>
      </c>
      <c r="AP31" s="225">
        <v>1</v>
      </c>
      <c r="AQ31" s="225">
        <v>1</v>
      </c>
      <c r="AR31" s="225">
        <v>1</v>
      </c>
      <c r="AS31" s="166">
        <f t="shared" si="36"/>
        <v>0</v>
      </c>
      <c r="AT31" s="166">
        <f t="shared" si="36"/>
        <v>0</v>
      </c>
      <c r="AU31" s="225"/>
      <c r="AV31" s="226"/>
      <c r="AW31" s="225"/>
      <c r="AX31" s="226"/>
      <c r="AY31" s="143">
        <f>SUBTOTAL(9,AY9:AY30)</f>
        <v>644</v>
      </c>
      <c r="AZ31" s="144">
        <f>SUBTOTAL(9,AZ9:AZ30)</f>
        <v>1176</v>
      </c>
      <c r="BA31" s="144">
        <f>SUBTOTAL(9,BA9:BA30)</f>
        <v>989</v>
      </c>
      <c r="BB31" s="144">
        <f>SUBTOTAL(9,BB9:BB30)</f>
        <v>813</v>
      </c>
      <c r="BC31" s="145">
        <f>SUBTOTAL(9,BC9:BC30)</f>
        <v>324</v>
      </c>
      <c r="BD31" s="227">
        <f>IF(ISNUMBER(BA31/AZ31),BA31/AZ31," - ")</f>
        <v>0.84098639455782309</v>
      </c>
      <c r="BE31" s="224">
        <f>IF(ISNUMBER(BB31/BA31),BB31/BA31, " - ")</f>
        <v>0.8220424671385238</v>
      </c>
      <c r="BF31" s="224">
        <f>IF(ISNUMBER(BC31/BA31),BC31/BA31, " - ")</f>
        <v>0.3276036400404449</v>
      </c>
      <c r="BG31" s="145">
        <f>IF(ISNUMBER((AY31+AZ31)/BA31),(AY31+AZ31)/BA31," - ")</f>
        <v>1.840242669362993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CczZ2EZqH0uy+2INGhZm2T4gIrAiecN0zTEC40GvtBsuR7zK7+icLQhbQztL79HVJP5Jl6S/Qug1VJy9ioCQ==" saltValue="zt3C9V4t7h1aM4f24PE7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Y0bWQDQwbDeEHSS4Md9uziIiNkcSd93bAo+TXsfURymW3jHcXNUPyGIQWTnBHSHiG0sx9R1renFhjolm6cUQ==" saltValue="PD6j2WtEdNnMgMd/fdM+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AREVALO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308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v>
      </c>
      <c r="BD12" s="693">
        <f>IF(ISNUMBER(Datos!N12),Datos!N12," - ")</f>
        <v>172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0.78260869565217395</v>
      </c>
      <c r="BH12" s="764">
        <f>IF(ISNUMBER(((IF(J_V="SI",Datos!L12/Datos!K12,(Datos!L12+Datos!AB12)/(Datos!K12+Datos!AA12)))*11)/factor_trimestre),((IF(J_V="SI",Datos!L12/Datos!K12,(Datos!L12+Datos!AB12)/(Datos!K12+Datos!AA12)))*11)/factor_trimestre," - ")</f>
        <v>7.5533333333333328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-0.21628498727735368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202</v>
      </c>
      <c r="AD14" s="1198">
        <f t="shared" si="2"/>
        <v>0</v>
      </c>
      <c r="AE14" s="1198">
        <f t="shared" si="2"/>
        <v>0</v>
      </c>
      <c r="AF14" s="1198">
        <f t="shared" si="2"/>
        <v>1</v>
      </c>
      <c r="AG14" s="1198">
        <f t="shared" si="2"/>
        <v>0</v>
      </c>
      <c r="AH14" s="1198">
        <f t="shared" si="2"/>
        <v>27</v>
      </c>
      <c r="AI14" s="1198">
        <f t="shared" si="2"/>
        <v>0</v>
      </c>
      <c r="AJ14" s="1198">
        <f t="shared" si="2"/>
        <v>0</v>
      </c>
      <c r="AK14" s="1198">
        <f t="shared" si="2"/>
        <v>0</v>
      </c>
      <c r="AL14" s="1198">
        <f t="shared" si="2"/>
        <v>0</v>
      </c>
      <c r="AM14" s="1198">
        <f t="shared" si="2"/>
        <v>308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v>
      </c>
      <c r="BD14" s="1198">
        <f t="shared" si="2"/>
        <v>172</v>
      </c>
      <c r="BE14" s="1198">
        <f t="shared" si="2"/>
        <v>0</v>
      </c>
      <c r="BF14" s="1198">
        <f t="shared" si="2"/>
        <v>0</v>
      </c>
      <c r="BG14" s="1198">
        <f>IF(ISNUMBER(Datos!K14/Datos!J14),Datos!K14/Datos!J14," - ")</f>
        <v>0.73663366336633662</v>
      </c>
      <c r="BH14" s="1202">
        <f>IF(ISNUMBER(((Datos!L14/Datos!K14)*11)/factor_trimestre),((Datos!L14/Datos!K14)*11)/factor_trimestre," - ")</f>
        <v>8.3682795698924721</v>
      </c>
      <c r="BI14" s="1198">
        <f>IF(ISNUMBER('Resol  Asuntos'!D14/NºAsuntos!G14),'Resol  Asuntos'!D14/NºAsuntos!G14," - ")</f>
        <v>0.22466960352422907</v>
      </c>
      <c r="BJ14" s="1198" t="str">
        <f>IF(ISNUMBER(Datos!CI14/Datos!CJ14),Datos!CI14/Datos!CJ14," - ")</f>
        <v xml:space="preserve"> - </v>
      </c>
      <c r="BK14" s="1198">
        <f>SUBTOTAL(9,BK8:BK13)</f>
        <v>0</v>
      </c>
      <c r="BL14" s="1198" t="str">
        <f>IF(ISNUMBER((I14-AB14+L14)/(F14)),(I14-AB14+L14)/(F14)," - ")</f>
        <v xml:space="preserve"> - </v>
      </c>
      <c r="BM14" s="1203">
        <f>SUBTOTAL(9,BM9:BM13)</f>
        <v>-0.21628498727735368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432</v>
      </c>
      <c r="G17" s="743">
        <f>IF(ISNUMBER(IF(D_I="SI",Datos!I17,Datos!I17+Datos!AC17)),IF(D_I="SI",Datos!I17,Datos!I17+Datos!AC17)," - ")</f>
        <v>408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280</v>
      </c>
      <c r="AC17" s="240">
        <f>IF(ISNUMBER(Datos!Q17),Datos!Q17," - ")</f>
        <v>18</v>
      </c>
      <c r="AD17" s="374"/>
      <c r="AE17" s="562"/>
      <c r="AF17" s="741">
        <f>IF(ISNUMBER(IF(D_I="SI",Datos!L17,Datos!L17+Datos!AF17)),IF(D_I="SI",Datos!L17,Datos!L17+Datos!AF17)," - ")</f>
        <v>646</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v>
      </c>
      <c r="BD17" s="243">
        <f>IF(ISNUMBER(Datos!N17),Datos!N17," - ")</f>
        <v>158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0.5668016194331984</v>
      </c>
      <c r="BH17" s="764">
        <f>IF(ISNUMBER(((IF(D_I="SI",Datos!L17/Datos!K17,(Datos!L17+Datos!AF17)/(Datos!K17+Datos!AE17)))*11)/factor_trimestre),((IF(D_I="SI",Datos!L17/Datos!K17,(Datos!L17+Datos!AF17)/(Datos!K17+Datos!AE17)))*11)/factor_trimestre," - ")</f>
        <v>25.378571428571426</v>
      </c>
      <c r="BI17" s="266">
        <f>IF(ISNUMBER('Resol  Asuntos'!D17/NºAsuntos!G17),'Resol  Asuntos'!D17/NºAsuntos!G17," - ")</f>
        <v>0.22142857142857142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0.5714285714285714</v>
      </c>
      <c r="BH18" s="764">
        <f>IF(ISNUMBER(((IF(D_I="SI",Datos!L18/Datos!K18,(Datos!L18+Datos!AF18)/(Datos!K18+Datos!AE18)))*11)/factor_trimestre),((IF(D_I="SI",Datos!L18/Datos!K18,(Datos!L18+Datos!AF18)/(Datos!K18+Datos!AE18)))*11)/factor_trimestre," - ")</f>
        <v>20.166666666666664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432</v>
      </c>
      <c r="G23" s="1197">
        <f>SUBTOTAL(9,G16:G22)</f>
        <v>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292</v>
      </c>
      <c r="AC23" s="1198">
        <f t="shared" si="5"/>
        <v>18</v>
      </c>
      <c r="AD23" s="1198">
        <f t="shared" si="5"/>
        <v>0</v>
      </c>
      <c r="AE23" s="1198">
        <f t="shared" si="5"/>
        <v>0</v>
      </c>
      <c r="AF23" s="1198">
        <f t="shared" si="5"/>
        <v>668</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172</v>
      </c>
      <c r="BE23" s="1198">
        <f t="shared" si="5"/>
        <v>0</v>
      </c>
      <c r="BF23" s="1198">
        <f t="shared" si="5"/>
        <v>0</v>
      </c>
      <c r="BG23" s="1198">
        <f>IF(ISNUMBER(Datos!K23/Datos!J23),Datos!K23/Datos!J23," - ")</f>
        <v>0.56699029126213596</v>
      </c>
      <c r="BH23" s="1202">
        <f>IF(ISNUMBER(((Datos!L23/Datos!K23)*11)/factor_trimestre),((Datos!L23/Datos!K23)*11)/factor_trimestre," - ")</f>
        <v>25.164383561643834</v>
      </c>
      <c r="BI23" s="1198">
        <f>SUBTOTAL(9,BI16:BI22)</f>
        <v>0.22142857142857142</v>
      </c>
      <c r="BJ23" s="1198">
        <f>SUBTOTAL(9,BJ16:BJ22)</f>
        <v>0</v>
      </c>
      <c r="BK23" s="1198">
        <f>SUBTOTAL(9,BK16:BK22)</f>
        <v>0</v>
      </c>
      <c r="BL23" s="1198">
        <f>IF(ISNUMBER((I23-AB23+L23)/(F23)),(I23-AB23+L23)/(F23)," - ")</f>
        <v>-0.67592592592592593</v>
      </c>
      <c r="BM23" s="1205">
        <f>IF(ISNUMBER((Datos!P23-Datos!Q23)/(Datos!R23-Datos!P23+Datos!Q23)),(Datos!P23-Datos!Q23)/(Datos!R23-Datos!P23+Datos!Q23)," - ")</f>
        <v>-0.6428571428571429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432</v>
      </c>
      <c r="G31" s="1117">
        <f t="shared" si="18"/>
        <v>421</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v>
      </c>
      <c r="AC31" s="1118">
        <f t="shared" si="19"/>
        <v>220</v>
      </c>
      <c r="AD31" s="1118">
        <f t="shared" si="19"/>
        <v>0</v>
      </c>
      <c r="AE31" s="1118">
        <f t="shared" si="19"/>
        <v>0</v>
      </c>
      <c r="AF31" s="1125">
        <f t="shared" si="19"/>
        <v>669</v>
      </c>
      <c r="AG31" s="1125">
        <f t="shared" si="19"/>
        <v>0</v>
      </c>
      <c r="AH31" s="1125">
        <f t="shared" si="19"/>
        <v>27</v>
      </c>
      <c r="AI31" s="1125">
        <f t="shared" si="19"/>
        <v>0</v>
      </c>
      <c r="AJ31" s="1118">
        <f t="shared" si="19"/>
        <v>0</v>
      </c>
      <c r="AK31" s="1125">
        <f t="shared" si="19"/>
        <v>0</v>
      </c>
      <c r="AL31" s="1125">
        <f t="shared" si="19"/>
        <v>0</v>
      </c>
      <c r="AM31" s="1125">
        <f t="shared" si="19"/>
        <v>313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v>
      </c>
      <c r="BD31" s="1117">
        <f t="shared" si="19"/>
        <v>344</v>
      </c>
      <c r="BE31" s="1117">
        <f t="shared" si="19"/>
        <v>0</v>
      </c>
      <c r="BF31" s="1127">
        <f t="shared" si="19"/>
        <v>0</v>
      </c>
      <c r="BG31" s="1223">
        <f>IF(ISNUMBER(Datos!K31/Datos!J31),Datos!K31/Datos!J31," - ")</f>
        <v>0.65098039215686276</v>
      </c>
      <c r="BH31" s="1223">
        <f>IF(ISNUMBER(((Datos!L31/Datos!K31)*11)/factor_trimestre),((Datos!L31/Datos!K31)*11)/factor_trimestre," - ")</f>
        <v>15.754518072289157</v>
      </c>
      <c r="BI31" s="1103">
        <f>IF(ISNUMBER(Datos!J31/Datos!I31),Datos!J31/Datos!I31," - ")</f>
        <v>1.4509246088193457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-0.68518518518518523</v>
      </c>
      <c r="BM31" s="1188">
        <f>IF(ISNUMBER((Datos!P31-Datos!Q31+R31)/(Datos!R31-Datos!P31+Datos!Q31-R31)),(Datos!P31-Datos!Q31+R31)/(Datos!R31-Datos!P31+Datos!Q31-R31)," - ")</f>
        <v>-0.23095823095823095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120.28571428571429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223.08384074154722</v>
      </c>
      <c r="G33" s="674">
        <f>IF(ISNUMBER(STDEV(G8:G30)),STDEV(G8:G30),"-")</f>
        <v>201.07769168965041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137.70361547281797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46.365011438737788</v>
      </c>
      <c r="BD33" s="673"/>
      <c r="BE33" s="673">
        <f>IF(ISNUMBER(STDEV(BE8:BE30)),STDEV(BE8:BE30),"-")</f>
        <v>0</v>
      </c>
      <c r="BF33" s="678">
        <f>IF(ISNUMBER(STDEV(BF8:BF30)),STDEV(BF8:BF30),"-")</f>
        <v>0</v>
      </c>
      <c r="BG33" s="1052">
        <f>IF(ISNUMBER(STDEV(BG8:BG30)),STDEV(BG8:BG30),"-")</f>
        <v>0.11401287323345571</v>
      </c>
      <c r="BH33" s="1058">
        <f>IF(ISNUMBER(STDEV(BH8:BH30)),STDEV(BH8:BH30),"-")</f>
        <v>9.8707155876349848</v>
      </c>
      <c r="BI33" s="273">
        <f>IF(ISNUMBER(STDEV(BI8:BI30)),STDEV(BI8:BI30),"-")</f>
        <v>0.11126494799037882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Tof/othkuWqqOqIKPBd1vWQXG+0Trf1MxEL1NYcN7zVTWuaUC7BmU+Ny8dfp+1+qfljTAQcJr1v0TTeDxk/ug==" saltValue="ReEIDOgXSrcxN7/T/OO0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AREVALO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308</v>
      </c>
      <c r="AF12" s="693" t="str">
        <f>IF(ISNUMBER(Datos!BV12),Datos!BV12," - ")</f>
        <v xml:space="preserve"> - </v>
      </c>
      <c r="AG12" s="552" t="str">
        <f>IF(ISNUMBER(Datos!DV12),Datos!DV12," - ")</f>
        <v xml:space="preserve"> - </v>
      </c>
      <c r="AH12" s="553"/>
      <c r="AI12" s="554"/>
      <c r="AJ12" s="552">
        <f>IF(ISNUMBER(Datos!M12),Datos!M12," - ")</f>
        <v>102</v>
      </c>
      <c r="AK12" s="693">
        <f>IF(ISNUMBER(Datos!N12),Datos!N12," - ")</f>
        <v>172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7.5533333333333328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-0.21628498727735368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202</v>
      </c>
      <c r="AA14" s="1199">
        <f t="shared" si="3"/>
        <v>1</v>
      </c>
      <c r="AB14" s="1199">
        <f t="shared" si="3"/>
        <v>0</v>
      </c>
      <c r="AC14" s="1199">
        <f t="shared" si="3"/>
        <v>0</v>
      </c>
      <c r="AD14" s="1199">
        <f t="shared" si="3"/>
        <v>0</v>
      </c>
      <c r="AE14" s="1199">
        <f t="shared" si="3"/>
        <v>308</v>
      </c>
      <c r="AF14" s="1211">
        <f t="shared" si="3"/>
        <v>0</v>
      </c>
      <c r="AG14" s="1211">
        <f t="shared" si="3"/>
        <v>0</v>
      </c>
      <c r="AH14" s="1211">
        <f t="shared" si="3"/>
        <v>0</v>
      </c>
      <c r="AI14" s="1211">
        <f t="shared" si="3"/>
        <v>0</v>
      </c>
      <c r="AJ14" s="1211">
        <f t="shared" si="3"/>
        <v>102</v>
      </c>
      <c r="AK14" s="1211">
        <f t="shared" si="3"/>
        <v>172</v>
      </c>
      <c r="AL14" s="1211">
        <f t="shared" si="3"/>
        <v>0</v>
      </c>
      <c r="AM14" s="1211">
        <f t="shared" si="3"/>
        <v>0</v>
      </c>
      <c r="AN14" s="1211">
        <f t="shared" si="3"/>
        <v>0</v>
      </c>
      <c r="AO14" s="1203">
        <f>IF(ISNUMBER(((NºAsuntos!I14/NºAsuntos!G14)*11)/factor_trimestre),((NºAsuntos!I14/NºAsuntos!G14)*11)/factor_trimestre," - ")</f>
        <v>7.5110132158590304</v>
      </c>
      <c r="AP14" s="1213" t="str">
        <f>IF(ISNUMBER(Datos!CI14/Datos!CJ14),Datos!CI14/Datos!CJ14," - ")</f>
        <v xml:space="preserve"> - </v>
      </c>
      <c r="AQ14" s="1236">
        <f t="shared" ref="AQ14:AV14" si="4">SUBTOTAL(9,AQ9:AQ13)</f>
        <v>0</v>
      </c>
      <c r="AR14" s="1236">
        <f t="shared" si="4"/>
        <v>-0.21628498727735368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432</v>
      </c>
      <c r="G17" s="552">
        <f>IF(ISNUMBER(IF(D_I="SI",Datos!I17,Datos!I17+Datos!AC17)),IF(D_I="SI",Datos!I17,Datos!I17+Datos!AC17)," - ")</f>
        <v>408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280</v>
      </c>
      <c r="Z17" s="805">
        <f>IF(ISNUMBER(Datos!Q17),Datos!Q17," - ")</f>
        <v>18</v>
      </c>
      <c r="AA17" s="551">
        <f>IF(ISNUMBER(IF(D_I="SI",Datos!L17,Datos!L17+Datos!AF17)),IF(D_I="SI",Datos!L17,Datos!L17+Datos!AF17)," - ")</f>
        <v>646</v>
      </c>
      <c r="AB17" s="549"/>
      <c r="AC17" s="549"/>
      <c r="AD17" s="563"/>
      <c r="AE17" s="563">
        <f>IF(ISNUMBER(Datos!R17),Datos!R17," - ")</f>
        <v>5</v>
      </c>
      <c r="AF17" s="693" t="str">
        <f>IF(ISNUMBER(Datos!BV17),Datos!BV17," - ")</f>
        <v xml:space="preserve"> - </v>
      </c>
      <c r="AG17" s="552"/>
      <c r="AH17" s="553"/>
      <c r="AI17" s="554"/>
      <c r="AJ17" s="552">
        <f>IF(ISNUMBER(Datos!M17),Datos!M17," - ")</f>
        <v>62</v>
      </c>
      <c r="AK17" s="693">
        <f>IF(ISNUMBER(Datos!N17),Datos!N17," - ")</f>
        <v>158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25.378571428571426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20.166666666666664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432</v>
      </c>
      <c r="G23" s="1197">
        <f>SUBTOTAL(9,G16:G22)</f>
        <v>421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292</v>
      </c>
      <c r="Z23" s="1240">
        <f t="shared" si="6"/>
        <v>18</v>
      </c>
      <c r="AA23" s="1240">
        <f t="shared" si="6"/>
        <v>668</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62</v>
      </c>
      <c r="AK23" s="1240">
        <f t="shared" si="6"/>
        <v>172</v>
      </c>
      <c r="AL23" s="1240">
        <f t="shared" si="6"/>
        <v>0</v>
      </c>
      <c r="AM23" s="1240">
        <f t="shared" si="6"/>
        <v>0</v>
      </c>
      <c r="AN23" s="1240">
        <f t="shared" si="6"/>
        <v>0</v>
      </c>
      <c r="AO23" s="1242">
        <f>IF(ISNUMBER(((NºAsuntos!I23/NºAsuntos!G23)*11)/factor_trimestre),((NºAsuntos!I23/NºAsuntos!G23)*11)/factor_trimestre," - ")</f>
        <v>25.164383561643834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432</v>
      </c>
      <c r="G31" s="1117">
        <f t="shared" si="12"/>
        <v>421</v>
      </c>
      <c r="H31" s="1118">
        <f t="shared" si="12"/>
        <v>0</v>
      </c>
      <c r="I31" s="1117">
        <f t="shared" si="12"/>
        <v>0</v>
      </c>
      <c r="J31" s="1119">
        <f t="shared" si="12"/>
        <v>0</v>
      </c>
      <c r="K31" s="1117">
        <f t="shared" si="12"/>
        <v>0</v>
      </c>
      <c r="L31" s="1120">
        <f t="shared" si="12"/>
        <v>0</v>
      </c>
      <c r="M31" s="1117">
        <f t="shared" si="12"/>
        <v>0</v>
      </c>
      <c r="N31" s="1118">
        <f t="shared" si="12"/>
        <v>126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v>
      </c>
      <c r="Z31" s="1124">
        <f t="shared" si="13"/>
        <v>220</v>
      </c>
      <c r="AA31" s="1125">
        <f t="shared" si="13"/>
        <v>669</v>
      </c>
      <c r="AB31" s="1125">
        <f t="shared" si="13"/>
        <v>0</v>
      </c>
      <c r="AC31" s="1125">
        <f t="shared" si="13"/>
        <v>0</v>
      </c>
      <c r="AD31" s="1126">
        <f t="shared" si="13"/>
        <v>0</v>
      </c>
      <c r="AE31" s="1126">
        <f t="shared" si="13"/>
        <v>313</v>
      </c>
      <c r="AF31" s="1127">
        <f t="shared" si="13"/>
        <v>0</v>
      </c>
      <c r="AG31" s="1128">
        <f t="shared" si="13"/>
        <v>0</v>
      </c>
      <c r="AH31" s="1129">
        <f t="shared" si="13"/>
        <v>0</v>
      </c>
      <c r="AI31" s="1127">
        <f t="shared" si="13"/>
        <v>0</v>
      </c>
      <c r="AJ31" s="1117">
        <f t="shared" si="13"/>
        <v>164</v>
      </c>
      <c r="AK31" s="1117">
        <f t="shared" si="13"/>
        <v>344</v>
      </c>
      <c r="AL31" s="1117">
        <f t="shared" si="13"/>
        <v>0</v>
      </c>
      <c r="AM31" s="1130">
        <f t="shared" si="13"/>
        <v>0</v>
      </c>
      <c r="AN31" s="1120">
        <f>IF(ISNUMBER(Datos!K31/Datos!J31),Datos!K31/Datos!J31," - ")</f>
        <v>0.65098039215686276</v>
      </c>
      <c r="AO31" s="1120">
        <f>IF(ISNUMBER(FIND("06",Criterios!A8,1)),(IF(ISNUMBER(((Datos!R31/Datos!Q31)*11)/factor_trimestre),((Datos!R31/Datos!Q31)*11)/factor_trimestre," - ")),(IF(ISNUMBER(((Datos!L31/Datos!K31)*11)/factor_trimestre),((Datos!L31/Datos!K31)*11)/factor_trimestre," - ")))</f>
        <v>15.754518072289157</v>
      </c>
      <c r="AP31" s="1131" t="str">
        <f>IF(ISNUMBER(Datos!CI31/Datos!CJ31),Datos!CI31/Datos!CJ31," - ")</f>
        <v xml:space="preserve"> - </v>
      </c>
      <c r="AQ31" s="1131">
        <f>IF(OR(ISNUMBER(FIND("01",Criterios!A8,1)),ISNUMBER(FIND("02",Criterios!A8,1)),ISNUMBER(FIND("03",Criterios!A8,1)),ISNUMBER(FIND("04",Criterios!A8,1))),(J31-Y31+K31)/(F31-K31),(I31-Y31+K31)/(F31-K31))</f>
        <v>-0.68518518518518523</v>
      </c>
      <c r="AR31" s="1131">
        <f>IF(ISNUMBER((Datos!P31-Datos!Q31+O31)/(Datos!R31-Datos!P31+Datos!Q31-O31)),(Datos!P31-Datos!Q31+O31)/(Datos!R31-Datos!P31+Datos!Q31-O31)," - ")</f>
        <v>-0.23095823095823095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120.28571428571429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223.08384074154722</v>
      </c>
      <c r="G33" s="674">
        <f>IF(ISNUMBER(STDEV(G8:G30)),STDEV(G8:G30),"-")</f>
        <v>201.07769168965041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46.365011438737788</v>
      </c>
      <c r="AK33" s="276"/>
      <c r="AL33" s="276">
        <f>IF(ISNUMBER(STDEV(AL8:AL30)),STDEV(AL8:AL30),"-")</f>
        <v>0</v>
      </c>
      <c r="AM33" s="278">
        <f>IF(ISNUMBER(STDEV(AM8:AM30)),STDEV(AM8:AM30),"-")</f>
        <v>0</v>
      </c>
      <c r="AN33" s="660">
        <f>IF(ISNUMBER(STDEV(AN8:AN30)),STDEV(AN8:AN30),"-")</f>
        <v>0</v>
      </c>
      <c r="AO33" s="661">
        <f>IF(ISNUMBER(STDEV(AO8:AO30)),STDEV(AO8:AO30),"-")</f>
        <v>9.9896049810322491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ng4yLAjBFFoJ03PnZxpXXqYK1fpwak3inVSjuTA71FQWmKfZZCAbIMIbdtSZGV/nrzd48Xwqs9dKOdDqY38jQ==" saltValue="ng4Hev6Ka7F8NGN7Xa+d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MkhtszkEqmqXqvg6XGlykTgyctYl/sGTBcxbFGpBK+Px46FqM20W8voZLOV4cgcTjJiXA4DrE1jbz1CXi39+w==" saltValue="OiGn3Fvt8pEHwPjC771C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amFL72+dHWFinSOc78pmxB2JLpkeUso5AJdy+Y6GOEPTXI9QaXwKQFrEO86n6OLkWvyKqEz3SJsscWCUuDCTg==" saltValue="+ILX+nr/Dvo2JW83uyoa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AREVALO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0.22466960352422907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0.15886540017847545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5rJ/sMZbqs0BmMnxYtOVm2ssVaufefQMQ2rFaDVRX7NsiPZU+nsZAEr4Jsxp0RvaNpK/6Nqa10vPXgGI0cLPag==" saltValue="GylVRlUCC/a905Fa/4Qk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GMglfebtrqxtZDdFJ3dJqfc/VTrAFqiJejgjSylgIvA8cHO5kjE68VRA0rv5jSSAiaBock8S1BbuCffBascow==" saltValue="h4ayTXNNt/lpPBkTRfgE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AREVALO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5</v>
      </c>
      <c r="F10" s="452">
        <f>IF(ISNUMBER(E10/B10),E10/B10," - ")</f>
        <v>5</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392</v>
      </c>
      <c r="D12" s="452">
        <f>IF(ISNUMBER(C12/Datos!BH12),C12/Datos!BH12," - ")</f>
        <v>392</v>
      </c>
      <c r="E12" s="451">
        <f>IF(ISNUMBER(IF(J_V="SI",Datos!J12,Datos!J12+Datos!Z12)),IF(J_V="SI",Datos!J12,Datos!J12+Datos!Z12)," - ")</f>
        <v>575</v>
      </c>
      <c r="F12" s="452">
        <f>IF(ISNUMBER(E12/B12),E12/B12," - ")</f>
        <v>575</v>
      </c>
      <c r="G12" s="451">
        <f>IF(ISNUMBER(IF(J_V="SI",Datos!K12,Datos!K12+Datos!AA12)),IF(J_V="SI",Datos!K12,Datos!K12+Datos!AA12)," - ")</f>
        <v>450</v>
      </c>
      <c r="H12" s="452">
        <f>IF(ISNUMBER(G12/B12),G12/B12," - ")</f>
        <v>450</v>
      </c>
      <c r="I12" s="451">
        <f>IF(ISNUMBER(IF(J_V="SI",Datos!L12,Datos!L12+Datos!AB12)),IF(J_V="SI",Datos!L12,Datos!L12+Datos!AB12)," - ")</f>
        <v>309</v>
      </c>
      <c r="J12" s="452">
        <f>IF(ISNUMBER(I12/B12),I12/B12," - ")</f>
        <v>309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392</v>
      </c>
      <c r="D14" s="1147" t="str">
        <f>IF(ISNUMBER(C14/Datos!BI14),C14/Datos!BI14," - ")</f>
        <v xml:space="preserve"> - </v>
      </c>
      <c r="E14" s="1146">
        <f>SUBTOTAL(9,E8:E13)</f>
        <v>580</v>
      </c>
      <c r="F14" s="1147">
        <f>IF(ISNUMBER(E14/B14),E14/B14," - ")</f>
        <v>580</v>
      </c>
      <c r="G14" s="1146">
        <f>SUBTOTAL(9,G8:G13)</f>
        <v>454</v>
      </c>
      <c r="H14" s="1147">
        <f>IF(ISNUMBER(G14/B14),G14/B14," - ")</f>
        <v>454</v>
      </c>
      <c r="I14" s="1146">
        <f>SUBTOTAL(9,I8:I13)</f>
        <v>310</v>
      </c>
      <c r="J14" s="1147">
        <f>IF(ISNUMBER(I14/B14),I14/B14," - ")</f>
        <v>310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408</v>
      </c>
      <c r="D17" s="452">
        <f>IF(ISNUMBER(C17/Datos!BH17),C17/Datos!BH17," - ")</f>
        <v>408</v>
      </c>
      <c r="E17" s="451">
        <f>IF(ISNUMBER(IF(D_I="SI",Datos!J17,Datos!J17+Datos!AD17)),IF(D_I="SI",Datos!J17,Datos!J17+Datos!AD17)," - ")</f>
        <v>494</v>
      </c>
      <c r="F17" s="452">
        <f>IF(ISNUMBER(E17/B17),E17/B17," - ")</f>
        <v>494</v>
      </c>
      <c r="G17" s="451">
        <f>IF(ISNUMBER(IF(D_I="SI",Datos!K17,Datos!K17+Datos!AE17)),IF(D_I="SI",Datos!K17,Datos!K17+Datos!AE17)," - ")</f>
        <v>280</v>
      </c>
      <c r="H17" s="452">
        <f>IF(ISNUMBER(G17/B17),G17/B17," - ")</f>
        <v>280</v>
      </c>
      <c r="I17" s="451">
        <f>IF(ISNUMBER(IF(D_I="SI",Datos!L17,Datos!L17+Datos!AF17)),IF(D_I="SI",Datos!L17,Datos!L17+Datos!AF17)," - ")</f>
        <v>646</v>
      </c>
      <c r="J17" s="452">
        <f>IF(ISNUMBER(I17/B17),I17/B17," - ")</f>
        <v>646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21</v>
      </c>
      <c r="F18" s="452">
        <f>IF(ISNUMBER(E18/B18),E18/B18," - ")</f>
        <v>21</v>
      </c>
      <c r="G18" s="451">
        <f>IF(ISNUMBER(IF(D_I="SI",Datos!K18,Datos!K18+Datos!AE18)),IF(D_I="SI",Datos!K18,Datos!K18+Datos!AE18)," - ")</f>
        <v>12</v>
      </c>
      <c r="H18" s="452">
        <f>IF(ISNUMBER(G18/B18),G18/B18," - ")</f>
        <v>12</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421</v>
      </c>
      <c r="D23" s="1147" t="str">
        <f>IF(ISNUMBER(C23/Datos!BI23),C23/Datos!BI23," - ")</f>
        <v xml:space="preserve"> - </v>
      </c>
      <c r="E23" s="1146">
        <f>SUBTOTAL(9,E15:E22)</f>
        <v>515</v>
      </c>
      <c r="F23" s="1147">
        <f>IF(ISNUMBER(E23/B23),E23/B23," - ")</f>
        <v>515</v>
      </c>
      <c r="G23" s="1146">
        <f>SUBTOTAL(9,G15:G22)</f>
        <v>292</v>
      </c>
      <c r="H23" s="1147">
        <f>IF(ISNUMBER(G23/B23),G23/B23," - ")</f>
        <v>292</v>
      </c>
      <c r="I23" s="1146">
        <f>SUBTOTAL(9,I15:I22)</f>
        <v>668</v>
      </c>
      <c r="J23" s="1147">
        <f>IF(ISNUMBER(I23/B23),I23/B23," - ")</f>
        <v>668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813</v>
      </c>
      <c r="D31" s="1085" t="str">
        <f>IF(ISNUMBER(C31/Datos!BI31),C31/Datos!BI31," - ")</f>
        <v xml:space="preserve"> - </v>
      </c>
      <c r="E31" s="1084">
        <f>SUBTOTAL(9,E9:E30)</f>
        <v>1095</v>
      </c>
      <c r="F31" s="1085">
        <f>IF(ISNUMBER(E31/B31),E31/B31," - ")</f>
        <v>1095</v>
      </c>
      <c r="G31" s="1084">
        <f>SUBTOTAL(9,G9:G30)</f>
        <v>746</v>
      </c>
      <c r="H31" s="1085">
        <f>IF(ISNUMBER(G31/B31),G31/B31," - ")</f>
        <v>746</v>
      </c>
      <c r="I31" s="1084">
        <f>SUBTOTAL(9,I9:I30)</f>
        <v>978</v>
      </c>
      <c r="J31" s="1085">
        <f>IF(ISNUMBER(I31/B31),I31/B31," - ")</f>
        <v>978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7hidJRs/w5P2FWCe1kdzBHHYpN8hcFQn4eVjPOlO4r9ITIb0giEbgVhIfv8GmEvixaxsNWjDOwdNg8cDEZxLA==" saltValue="tAAbc3S31wSNgIeS1z+E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AREVALO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v>
      </c>
      <c r="AM12" s="914">
        <f>IF(ISNUMBER(Datos!N12+DatosP!N17),Datos!N12+DatosP!N17," - ")</f>
        <v>172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7.5533333333333328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-0.21628498727735368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202</v>
      </c>
      <c r="AE14" s="1257">
        <f t="shared" si="1"/>
        <v>0</v>
      </c>
      <c r="AF14" s="1257">
        <f t="shared" si="1"/>
        <v>1</v>
      </c>
      <c r="AG14" s="1257">
        <f t="shared" si="1"/>
        <v>0</v>
      </c>
      <c r="AH14" s="1257">
        <f t="shared" si="1"/>
        <v>308</v>
      </c>
      <c r="AI14" s="1257">
        <f t="shared" si="1"/>
        <v>0</v>
      </c>
      <c r="AJ14" s="1257">
        <f t="shared" si="1"/>
        <v>0</v>
      </c>
      <c r="AK14" s="1257">
        <f t="shared" si="1"/>
        <v>0</v>
      </c>
      <c r="AL14" s="1257">
        <f t="shared" si="1"/>
        <v>102</v>
      </c>
      <c r="AM14" s="1257">
        <f t="shared" si="1"/>
        <v>172</v>
      </c>
      <c r="AN14" s="1257">
        <f t="shared" si="1"/>
        <v>0</v>
      </c>
      <c r="AO14" s="1257">
        <f t="shared" si="1"/>
        <v>0</v>
      </c>
      <c r="AP14" s="1262">
        <f>IF(ISNUMBER(((Datos!L14/Datos!K14)*11)/factor_trimestre),((Datos!L14/Datos!K14)*11)/factor_trimestre," - ")</f>
        <v>8.3682795698924721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-0.21628498727735368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25.164383561643834</v>
      </c>
      <c r="AQ23" s="1262">
        <f>IF(ISNUMBER(((Datos!M23/Datos!L23)*11)/factor_trimestre),((Datos!M23/Datos!L23)*11)/factor_trimestre," - ")</f>
        <v>1.0209580838323353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-0.6428571428571429</v>
      </c>
      <c r="AW23" s="1265">
        <f>IF(ISNUMBER((Datos!Q23-Datos!R23)/(Datos!S23-Datos!Q23+Datos!R23)),(Datos!Q23-Datos!R23)/(Datos!S23-Datos!Q23+Datos!R23)," - ")</f>
        <v>4.8872180451127817E-2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202</v>
      </c>
      <c r="AE31" s="1284">
        <f t="shared" si="9"/>
        <v>0</v>
      </c>
      <c r="AF31" s="1285">
        <f t="shared" si="9"/>
        <v>1</v>
      </c>
      <c r="AG31" s="1285">
        <f t="shared" si="9"/>
        <v>0</v>
      </c>
      <c r="AH31" s="1285">
        <f t="shared" si="9"/>
        <v>308</v>
      </c>
      <c r="AI31" s="1285">
        <f t="shared" si="9"/>
        <v>0</v>
      </c>
      <c r="AJ31" s="1286">
        <f t="shared" si="9"/>
        <v>0</v>
      </c>
      <c r="AK31" s="1286">
        <f t="shared" si="9"/>
        <v>0</v>
      </c>
      <c r="AL31" s="1278">
        <f t="shared" si="9"/>
        <v>102</v>
      </c>
      <c r="AM31" s="1278">
        <f t="shared" si="9"/>
        <v>172</v>
      </c>
      <c r="AN31" s="1278">
        <f t="shared" si="9"/>
        <v>0</v>
      </c>
      <c r="AO31" s="1278">
        <f t="shared" si="9"/>
        <v>0</v>
      </c>
      <c r="AP31" s="1278">
        <f>IF(ISNUMBER(((Datos!L31/Datos!K31)*11)/factor_trimestre),((Datos!L31/Datos!K31)*11)/factor_trimestre," - ")</f>
        <v>15.754518072289157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-0.23095823095823095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52.672573508420868</v>
      </c>
      <c r="AM33" s="1006"/>
      <c r="AN33" s="1006">
        <f>IF(ISNUMBER(STDEV(AN8:AN30)),STDEV(AN8:AN30),"-")</f>
        <v>0</v>
      </c>
      <c r="AO33" s="1012">
        <f>IF(ISNUMBER(STDEV(AO8:AO30)),STDEV(AO8:AO30),"-")</f>
        <v>0</v>
      </c>
      <c r="AP33" s="1065">
        <f>IF(ISNUMBER(STDEV(AP8:AP30)),STDEV(AP8:AP30),"-")</f>
        <v>9.7892968920966403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fx0gRPngh3gt2klyrfwxNfXtDFc1ccBGWEwMdEcyBTpirDI+0RRy/lPfd+8OHONDttLmnpqh9tJJXdypg6Cmw==" saltValue="gKKb5/Hva2FtnYDBlj8K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AREVALO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sHyQBYxoecbv2gWUfcFETVZxuPvMAtO9P9PJoZQaEm3L3Zq2Ae8LM/cfaKAtoGfetg/K3sm7pTTMIUX4USDMg==" saltValue="13MaKkph7R5km0mCQW4U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AREVALO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102</v>
      </c>
      <c r="E12" s="452">
        <f t="shared" si="0"/>
        <v>102</v>
      </c>
      <c r="F12" s="451">
        <f>IF(ISNUMBER(Datos!N12),Datos!N12," - ")</f>
        <v>172</v>
      </c>
      <c r="G12" s="452">
        <f t="shared" si="1"/>
        <v>172</v>
      </c>
      <c r="H12" s="451">
        <f>IF(ISNUMBER(Datos!O12),Datos!O12," - ")</f>
        <v>207</v>
      </c>
      <c r="I12" s="452">
        <f t="shared" si="2"/>
        <v>207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102</v>
      </c>
      <c r="E14" s="1147">
        <f t="shared" si="0"/>
        <v>51</v>
      </c>
      <c r="F14" s="1146">
        <f>SUBTOTAL(9,F9:F13)</f>
        <v>172</v>
      </c>
      <c r="G14" s="1147">
        <f t="shared" si="1"/>
        <v>86</v>
      </c>
      <c r="H14" s="1146">
        <f>SUBTOTAL(9,H9:H13)</f>
        <v>207</v>
      </c>
      <c r="I14" s="1147">
        <f>IF(ISNUMBER(H14/B14),H14/B14," - ")</f>
        <v>103.5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62</v>
      </c>
      <c r="E17" s="452">
        <f t="shared" si="3"/>
        <v>62</v>
      </c>
      <c r="F17" s="451">
        <f>IF(ISNUMBER(Datos!N17),Datos!N17," - ")</f>
        <v>158</v>
      </c>
      <c r="G17" s="452">
        <f t="shared" si="4"/>
        <v>158</v>
      </c>
      <c r="H17" s="451">
        <f>IF(ISNUMBER(Datos!O17),Datos!O17," - ")</f>
        <v>11</v>
      </c>
      <c r="I17" s="452">
        <f t="shared" si="5"/>
        <v>11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62</v>
      </c>
      <c r="E23" s="1147">
        <f t="shared" si="3"/>
        <v>31</v>
      </c>
      <c r="F23" s="1146">
        <f>SUBTOTAL(9,F16:F22)</f>
        <v>172</v>
      </c>
      <c r="G23" s="1147">
        <f t="shared" si="4"/>
        <v>86</v>
      </c>
      <c r="H23" s="1146">
        <f>SUBTOTAL(9,H16:H22)</f>
        <v>11</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164</v>
      </c>
      <c r="E31" s="1085">
        <f>IF(ISNUMBER(D31/B31),D31/B31," - ")</f>
        <v>164</v>
      </c>
      <c r="F31" s="1084">
        <f>SUBTOTAL(9,F8:F30)</f>
        <v>344</v>
      </c>
      <c r="G31" s="1085">
        <f>IF(ISNUMBER(F31/B31),F31/B31," - ")</f>
        <v>344</v>
      </c>
      <c r="H31" s="1084">
        <f>SUBTOTAL(9,H8:H30)</f>
        <v>218</v>
      </c>
      <c r="I31" s="1085">
        <f>IF(ISNUMBER(H31/B31),H31/B31," - ")</f>
        <v>218</v>
      </c>
    </row>
    <row r="34" spans="1:1">
      <c r="A34" s="439" t="str">
        <f>Criterios!A4</f>
        <v>Fecha Informe: 14 abr. 2023</v>
      </c>
    </row>
    <row r="39" spans="1:1">
      <c r="A39" s="462"/>
    </row>
  </sheetData>
  <sheetProtection algorithmName="SHA-512" hashValue="awkCUGaHioFNk6cBbFcSGLJ0IY9AtjWkEUa5HGDh0D2I3x4eMNcswK3mXAlOhWNJBo3NZg2X+Fxso3iLrx5XfQ==" saltValue="gH7O/s2Gedxw3z9MZw6i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AREVALO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202</v>
      </c>
      <c r="D12" s="456">
        <f>IF(ISNUMBER(Datos!R12),Datos!R12," - ")</f>
        <v>308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202</v>
      </c>
      <c r="D14" s="1148">
        <f>SUBTOTAL(9,D9:D13)</f>
        <v>308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18</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18</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126</v>
      </c>
      <c r="C31" s="1089">
        <f>SUBTOTAL(9,C8:C30)</f>
        <v>220</v>
      </c>
      <c r="D31" s="1090">
        <f>SUBTOTAL(9,D8:D30)</f>
        <v>313</v>
      </c>
    </row>
    <row r="32" spans="1:4" ht="7.5" customHeight="1"/>
    <row r="33" spans="1:1" ht="6" customHeight="1"/>
    <row r="34" spans="1:1">
      <c r="A34" s="439" t="str">
        <f>Criterios!A4</f>
        <v>Fecha Informe: 14 abr. 2023</v>
      </c>
    </row>
    <row r="39" spans="1:1">
      <c r="A39" s="462"/>
    </row>
  </sheetData>
  <sheetProtection algorithmName="SHA-512" hashValue="Tw5Y7r70rit4wWiy5PftSWL9kjaQhF8p3ZO0D6zJ4n+ociYoeSnEHsBxtnIyX9keHeTExPp6Pc7o5Vup6b5+Gg==" saltValue="zVM+fv5Oj519CQMmdFvl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AREVALO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4</v>
      </c>
      <c r="D10" s="515">
        <f>IF(ISNUMBER((Datos!K10-Datos!U10)/Datos!U10),(Datos!K10-Datos!U10)/Datos!U10," - ")</f>
        <v>3</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-0.19999999999999996</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7.3972602739726029E-2</v>
      </c>
      <c r="C12" s="515">
        <f>IF(ISNUMBER(
   IF(J_V="SI",(Datos!J12-Datos!T12)/Datos!T12,(Datos!J12+Datos!Z12-(Datos!T12+Datos!AH12))/(Datos!T12+Datos!AH12))
     ),IF(J_V="SI",(Datos!J12-Datos!T12)/Datos!T12,(Datos!J12+Datos!Z12-(Datos!T12+Datos!AH12))/(Datos!T12+Datos!AH12))," - ")</f>
        <v>-7.2580645161290328E-2</v>
      </c>
      <c r="D12" s="515">
        <f>IF(ISNUMBER(
   IF(J_V="SI",(Datos!K12-Datos!U12)/Datos!U12,(Datos!K12+Datos!AA12-(Datos!U12+Datos!AI12))/(Datos!U12+Datos!AI12))
     ),IF(J_V="SI",(Datos!K12-Datos!U12)/Datos!U12,(Datos!K12+Datos!AA12-(Datos!U12+Datos!AI12))/(Datos!U12+Datos!AI12))," - ")</f>
        <v>-0.24114671163575041</v>
      </c>
      <c r="E12" s="515">
        <f>IF(ISNUMBER(
   IF(J_V="SI",(Datos!L12-Datos!V12)/Datos!V12,(Datos!L12+Datos!AB12-(Datos!V12+Datos!AJ12))/(Datos!V12+Datos!AJ12))
     ),IF(J_V="SI",(Datos!L12-Datos!V12)/Datos!V12,(Datos!L12+Datos!AB12-(Datos!V12+Datos!AJ12))/(Datos!V12+Datos!AJ12))," - ")</f>
        <v>-0.21173469387755103</v>
      </c>
      <c r="F12" s="515">
        <f>IF(ISNUMBER((Datos!M12-Datos!W12)/Datos!W12),(Datos!M12-Datos!W12)/Datos!W12," - ")</f>
        <v>-0.30136986301369861</v>
      </c>
      <c r="G12" s="516">
        <f>IF(ISNUMBER((Datos!N12-Datos!X12)/Datos!X12),(Datos!N12-Datos!X12)/Datos!X12," - ")</f>
        <v>-0.25541125541125542</v>
      </c>
      <c r="H12" s="514">
        <f>IF(ISNUMBER(((NºAsuntos!G12/NºAsuntos!E12)-Datos!BD12)/Datos!BD12),((NºAsuntos!G12/NºAsuntos!E12)-Datos!BD12)/Datos!BD12," - ")</f>
        <v>-0.18175819341593952</v>
      </c>
      <c r="I12" s="515">
        <f>IF(ISNUMBER(((NºAsuntos!I12/NºAsuntos!G12)-Datos!BE12)/Datos!BE12),((NºAsuntos!I12/NºAsuntos!G12)-Datos!BE12)/Datos!BE12," - ")</f>
        <v>3.875850340136059E-2</v>
      </c>
      <c r="J12" s="521">
        <f>IF(ISNUMBER((('Resol  Asuntos'!D12/NºAsuntos!G12)-Datos!BF12)/Datos!BF12),(('Resol  Asuntos'!D12/NºAsuntos!G12)-Datos!BF12)/Datos!BF12," - ")</f>
        <v>-0.41812409812409812</v>
      </c>
      <c r="K12" s="522">
        <f>IF(ISNUMBER((((NºAsuntos!C12+NºAsuntos!E12)/NºAsuntos!G12)-Datos!BG12)/Datos!BG12),(((NºAsuntos!C12+NºAsuntos!E12)/NºAsuntos!G12)-Datos!BG12)/Datos!BG12," - ")</f>
        <v>0.29369655950366624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7.3972602739726029E-2</v>
      </c>
      <c r="C14" s="1152">
        <f>IF(ISNUMBER(
   IF(J_V="SI",(Datos!J14-Datos!T14)/Datos!T14,(Datos!J14+Datos!Z14-(Datos!T14+Datos!AH14))/(Datos!T14+Datos!AH14))
     ),IF(J_V="SI",(Datos!J14-Datos!T14)/Datos!T14,(Datos!J14+Datos!Z14-(Datos!T14+Datos!AH14))/(Datos!T14+Datos!AH14))," - ")</f>
        <v>-6.602254428341385E-2</v>
      </c>
      <c r="D14" s="1152">
        <f>IF(ISNUMBER(
   IF(J_V="SI",(Datos!K14-Datos!U14)/Datos!U14,(Datos!K14+Datos!AA14-(Datos!U14+Datos!AI14))/(Datos!U14+Datos!AI14))
     ),IF(J_V="SI",(Datos!K14-Datos!U14)/Datos!U14,(Datos!K14+Datos!AA14-(Datos!U14+Datos!AI14))/(Datos!U14+Datos!AI14))," - ")</f>
        <v>-0.2356902356902357</v>
      </c>
      <c r="E14" s="1152">
        <f>IF(ISNUMBER(
   IF(J_V="SI",(Datos!L14-Datos!V14)/Datos!V14,(Datos!L14+Datos!AB14-(Datos!V14+Datos!AJ14))/(Datos!V14+Datos!AJ14))
     ),IF(J_V="SI",(Datos!L14-Datos!V14)/Datos!V14,(Datos!L14+Datos!AB14-(Datos!V14+Datos!AJ14))/(Datos!V14+Datos!AJ14))," - ")</f>
        <v>-0.20918367346938777</v>
      </c>
      <c r="F14" s="1153">
        <f>IF(ISNUMBER((Datos!M14-Datos!W14)/Datos!W14),(Datos!M14-Datos!W14)/Datos!W14," - ")</f>
        <v>-0.30136986301369861</v>
      </c>
      <c r="G14" s="1154">
        <f>IF(ISNUMBER((Datos!N14-Datos!X14)/Datos!X14),(Datos!N14-Datos!X14)/Datos!X14," - ")</f>
        <v>-0.25541125541125542</v>
      </c>
      <c r="H14" s="1154">
        <f>IF(ISNUMBER(((NºAsuntos!G14/NºAsuntos!E14)-Datos!BD14)/Datos!BD14),((NºAsuntos!G14/NºAsuntos!E14)-Datos!BD14)/Datos!BD14," - ")</f>
        <v>-0.1816614420062696</v>
      </c>
      <c r="I14" s="1154">
        <f>IF(ISNUMBER(((NºAsuntos!I14/NºAsuntos!G14)-Datos!BE14)/Datos!BE14),((NºAsuntos!I14/NºAsuntos!G14)-Datos!BE14)/Datos!BE14," - ")</f>
        <v>3.4680391980580753E-2</v>
      </c>
      <c r="J14" s="1154">
        <f>IF(ISNUMBER((('Resol  Asuntos'!D14/NºAsuntos!G14)-Datos!BF14)/Datos!BF14),(('Resol  Asuntos'!D14/NºAsuntos!G14)-Datos!BF14)/Datos!BF14," - ")</f>
        <v>-0.42227816236626808</v>
      </c>
      <c r="K14" s="1154">
        <f>IF(ISNUMBER((((NºAsuntos!C14+NºAsuntos!E14)/NºAsuntos!G14)-Datos!BG14)/Datos!BG14),(((NºAsuntos!C14+NºAsuntos!E14)/NºAsuntos!G14)-Datos!BG14)/Datos!BG14," - ")</f>
        <v>0.28979278176408041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0.53962264150943395</v>
      </c>
      <c r="C17" s="515">
        <f>IF(ISNUMBER(
   IF(D_I="SI",(Datos!J17-Datos!T17)/Datos!T17,(Datos!J17+Datos!AD17-(Datos!T17+Datos!AL17))/(Datos!T17+Datos!AL17))
     ),IF(D_I="SI",(Datos!J17-Datos!T17)/Datos!T17,(Datos!J17+Datos!AD17-(Datos!T17+Datos!AL17))/(Datos!T17+Datos!AL17))," - ")</f>
        <v>-6.4393939393939392E-2</v>
      </c>
      <c r="D17" s="515">
        <f>IF(ISNUMBER(
   IF(D_I="SI",(Datos!K17-Datos!U17)/Datos!U17,(Datos!K17+Datos!AE17-(Datos!U17+Datos!AM17))/(Datos!U17+Datos!AM17))
     ),IF(D_I="SI",(Datos!K17-Datos!U17)/Datos!U17,(Datos!K17+Datos!AE17-(Datos!U17+Datos!AM17))/(Datos!U17+Datos!AM17))," - ")</f>
        <v>-0.23705722070844687</v>
      </c>
      <c r="E17" s="515">
        <f>IF(ISNUMBER(
   IF(D_I="SI",(Datos!L17-Datos!V17)/Datos!V17,(Datos!L17+Datos!AF17-(Datos!V17+Datos!AN17))/(Datos!V17+Datos!AN17))
     ),IF(D_I="SI",(Datos!L17-Datos!V17)/Datos!V17,(Datos!L17+Datos!AF17-(Datos!V17+Datos!AN17))/(Datos!V17+Datos!AN17))," - ")</f>
        <v>0.58333333333333337</v>
      </c>
      <c r="F17" s="515">
        <f>IF(ISNUMBER((Datos!M17-Datos!W17)/Datos!W17),(Datos!M17-Datos!W17)/Datos!W17," - ")</f>
        <v>-0.33333333333333331</v>
      </c>
      <c r="G17" s="516">
        <f>IF(ISNUMBER((Datos!N17-Datos!X17)/Datos!X17),(Datos!N17-Datos!X17)/Datos!X17," - ")</f>
        <v>-7.0588235294117646E-2</v>
      </c>
      <c r="H17" s="514">
        <f>IF(ISNUMBER(((NºAsuntos!G17/NºAsuntos!E17)-Datos!BD17)/Datos!BD17),((NºAsuntos!G17/NºAsuntos!E17)-Datos!BD17)/Datos!BD17," - ")</f>
        <v>-0.18454698893534399</v>
      </c>
      <c r="I17" s="515">
        <f>IF(ISNUMBER(((NºAsuntos!I17/NºAsuntos!G17)-Datos!BE17)/Datos!BE17),((NºAsuntos!I17/NºAsuntos!G17)-Datos!BE17)/Datos!BE17," - ")</f>
        <v>1.0752976190476189</v>
      </c>
      <c r="J17" s="521">
        <f>IF(ISNUMBER((('Resol  Asuntos'!D17/NºAsuntos!G17)-Datos!BF17)/Datos!BF17),(('Resol  Asuntos'!D17/NºAsuntos!G17)-Datos!BF17)/Datos!BF17," - ")</f>
        <v>-0.1261904761904763</v>
      </c>
      <c r="K17" s="522">
        <f>IF(ISNUMBER((((NºAsuntos!C17+NºAsuntos!E17)/NºAsuntos!G17)-Datos!BG17)/Datos!BG17),(((NºAsuntos!C17+NºAsuntos!E17)/NºAsuntos!G17)-Datos!BG17)/Datos!BG17," - ")</f>
        <v>0.49087551792469825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0.69230769230769229</v>
      </c>
      <c r="F18" s="515" t="str">
        <f>IF(ISNUMBER((Datos!M18-Datos!W18)/Datos!W18),(Datos!M18-Datos!W18)/Datos!W18," - ")</f>
        <v xml:space="preserve"> - </v>
      </c>
      <c r="G18" s="516">
        <f>IF(ISNUMBER((Datos!N18-Datos!X18)/Datos!X18),(Datos!N18-Datos!X18)/Datos!X18," - ")</f>
        <v>-0.26315789473684209</v>
      </c>
      <c r="H18" s="514">
        <f>IF(ISNUMBER(((NºAsuntos!G18/NºAsuntos!E18)-Datos!BD18)/Datos!BD18),((NºAsuntos!G18/NºAsuntos!E18)-Datos!BD18)/Datos!BD18," - ")</f>
        <v>-0.44897959183673469</v>
      </c>
      <c r="I18" s="515">
        <f>IF(ISNUMBER(((NºAsuntos!I18/NºAsuntos!G18)-Datos!BE18)/Datos!BE18),((NºAsuntos!I18/NºAsuntos!G18)-Datos!BE18)/Datos!BE18," - ")</f>
        <v>2.9487179487179485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0.93495934959349614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0.50896057347670254</v>
      </c>
      <c r="C23" s="1152">
        <f>IF(ISNUMBER(
   IF(Criterios!B14="SI",(Datos!J23-Datos!T23)/Datos!T23,(Datos!J23+Datos!AD23-(Datos!T23+Datos!AL23))/(Datos!T23+Datos!AL23))
     ),IF(Criterios!B14="SI",(Datos!J23-Datos!T23)/Datos!T23,(Datos!J23+Datos!AD23-(Datos!T23+Datos!AL23))/(Datos!T23+Datos!AL23))," - ")</f>
        <v>-7.2072072072072071E-2</v>
      </c>
      <c r="D23" s="1152">
        <f>IF(ISNUMBER(
   IF(Criterios!B14="SI",(Datos!K23-Datos!U23)/Datos!U23,(Datos!K23+Datos!AE23-(Datos!U23+Datos!AM23))/(Datos!U23+Datos!AM23))
     ),IF(Criterios!B14="SI",(Datos!K23-Datos!U23)/Datos!U23,(Datos!K23+Datos!AE23-(Datos!U23+Datos!AM23))/(Datos!U23+Datos!AM23))," - ")</f>
        <v>-0.26075949367088608</v>
      </c>
      <c r="E23" s="1152">
        <f>IF(ISNUMBER(
   IF(Criterios!B14="SI",(Datos!L23-Datos!V23)/Datos!V23,(Datos!L23+Datos!AF23-(Datos!V23+Datos!AN23))/(Datos!V23+Datos!AN23))
     ),IF(Criterios!B14="SI",(Datos!L23-Datos!V23)/Datos!V23,(Datos!L23+Datos!AF23-(Datos!V23+Datos!AN23))/(Datos!V23+Datos!AN23))," - ")</f>
        <v>0.58669833729216148</v>
      </c>
      <c r="F23" s="1153">
        <f>IF(ISNUMBER((Datos!M23-Datos!W23)/Datos!W23),(Datos!M23-Datos!W23)/Datos!W23," - ")</f>
        <v>-0.33333333333333331</v>
      </c>
      <c r="G23" s="1154">
        <f>IF(ISNUMBER((Datos!N23-Datos!X23)/Datos!X23),(Datos!N23-Datos!X23)/Datos!X23," - ")</f>
        <v>-8.9947089947089942E-2</v>
      </c>
      <c r="H23" s="1154">
        <f>IF(ISNUMBER(((NºAsuntos!G23/NºAsuntos!E23)-Datos!BD23)/Datos!BD23),((NºAsuntos!G23/NºAsuntos!E23)-Datos!BD23)/Datos!BD23," - ")</f>
        <v>-0.20334275531522664</v>
      </c>
      <c r="I23" s="1154">
        <f>IF(ISNUMBER(((NºAsuntos!I23/NºAsuntos!G23)-Datos!BE23)/Datos!BE23),((NºAsuntos!I23/NºAsuntos!G23)-Datos!BE23)/Datos!BE23," - ")</f>
        <v>1.1463898740767253</v>
      </c>
      <c r="J23" s="1154">
        <f>IF(ISNUMBER((('Resol  Asuntos'!D23/NºAsuntos!G23)-Datos!BF23)/Datos!BF23),(('Resol  Asuntos'!D23/NºAsuntos!G23)-Datos!BF23)/Datos!BF23," - ")</f>
        <v>-9.8173515981735238E-2</v>
      </c>
      <c r="K23" s="1154">
        <f>IF(ISNUMBER((((NºAsuntos!C23+NºAsuntos!E23)/NºAsuntos!G23)-Datos!BG23)/Datos!BG23),(((NºAsuntos!C23+NºAsuntos!E23)/NºAsuntos!G23)-Datos!BG23)/Datos!BG23," - ")</f>
        <v>0.51818271410269034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0.26242236024844723</v>
      </c>
      <c r="C31" s="1092">
        <f>IF(ISNUMBER(
   IF(J_V="SI",(Datos!J31-Datos!T31)/Datos!T31,(Datos!J31+Datos!Z31-(Datos!T31+Datos!AH31))/(Datos!T31+Datos!AH31))
     ),IF(J_V="SI",(Datos!J31-Datos!T31)/Datos!T31,(Datos!J31+Datos!Z31-(Datos!T31+Datos!AH31))/(Datos!T31+Datos!AH31))," - ")</f>
        <v>-6.8877551020408156E-2</v>
      </c>
      <c r="D31" s="1092">
        <f>IF(ISNUMBER(
   IF(J_V="SI",(Datos!K31-Datos!U31)/Datos!U31,(Datos!K31+Datos!AA31-(Datos!U31+Datos!AI31))/(Datos!U31+Datos!AI31))
     ),IF(J_V="SI",(Datos!K31-Datos!U31)/Datos!U31,(Datos!K31+Datos!AA31-(Datos!U31+Datos!AI31))/(Datos!U31+Datos!AI31))," - ")</f>
        <v>-0.24570273003033366</v>
      </c>
      <c r="E31" s="1092">
        <f>IF(ISNUMBER(
   IF(J_V="SI",(Datos!L31-Datos!V31)/Datos!V31,(Datos!L31+Datos!AB31-(Datos!V31+Datos!AJ31))/(Datos!V31+Datos!AJ31))
     ),IF(J_V="SI",(Datos!L31-Datos!V31)/Datos!V31,(Datos!L31+Datos!AB31-(Datos!V31+Datos!AJ31))/(Datos!V31+Datos!AJ31))," - ")</f>
        <v>0.2029520295202952</v>
      </c>
      <c r="F31" s="1093">
        <f>IF(ISNUMBER((Datos!M31-Datos!W31)/Datos!W31),(Datos!M31-Datos!W31)/Datos!W31," - ")</f>
        <v>-0.31380753138075312</v>
      </c>
      <c r="G31" s="1094">
        <f>IF(ISNUMBER((Datos!N31-Datos!X31)/Datos!X31),(Datos!N31-Datos!X31)/Datos!X31," - ")</f>
        <v>-0.18095238095238095</v>
      </c>
      <c r="H31" s="1095">
        <f>IF(ISNUMBER((Tasas!B31-Datos!BD31)/Datos!BD31),(Tasas!B31-Datos!BD31)/Datos!BD31," - ")</f>
        <v>-0.18990539773120757</v>
      </c>
      <c r="I31" s="1096">
        <f>IF(ISNUMBER((Tasas!C31-Datos!BE31)/Datos!BE31),(Tasas!C31-Datos!BE31)/Datos!BE31," - ")</f>
        <v>0.59479833404232152</v>
      </c>
      <c r="J31" s="1097">
        <f>IF(ISNUMBER((Tasas!D31-Datos!BF31)/Datos!BF31),(Tasas!D31-Datos!BF31)/Datos!BF31," - ")</f>
        <v>-0.32894780392546252</v>
      </c>
      <c r="K31" s="1097">
        <f>IF(ISNUMBER((Tasas!E31-Datos!BG31)/Datos!BG31),(Tasas!E31-Datos!BG31)/Datos!BG31," - ")</f>
        <v>0.38983884747959807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93k5B7DqrDKj8GX1OvQ5PotA3ErUpfP1z6o/hYVEmPWonMZIuNW2ZESTfCe5JYHUsEy3sLhGd9UtFQ+x+56OQ==" saltValue="vYmg5u0PldFFjFAF5J67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AREVALO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0.25</v>
      </c>
      <c r="D10" s="499">
        <f>IF(ISNUMBER('Resol  Asuntos'!D10/NºAsuntos!G10),'Resol  Asuntos'!D10/NºAsuntos!G10," - ")</f>
        <v>0</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0.78260869565217395</v>
      </c>
      <c r="C12" s="498">
        <f>IF(ISNUMBER(NºAsuntos!I12/NºAsuntos!G12),NºAsuntos!I12/NºAsuntos!G12," - ")</f>
        <v>0.68666666666666665</v>
      </c>
      <c r="D12" s="499">
        <f>IF(ISNUMBER('Resol  Asuntos'!D12/NºAsuntos!G12),'Resol  Asuntos'!D12/NºAsuntos!G12," - ")</f>
        <v>0.22666666666666666</v>
      </c>
      <c r="E12" s="500">
        <f>IF(ISNUMBER((NºAsuntos!C12+NºAsuntos!E12)/NºAsuntos!G12),(NºAsuntos!C12+NºAsuntos!E12)/NºAsuntos!G12," - ")</f>
        <v>2.1488888888888891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0.78275862068965518</v>
      </c>
      <c r="C14" s="1156">
        <f>IF(ISNUMBER(NºAsuntos!I14/NºAsuntos!G14),NºAsuntos!I14/NºAsuntos!G14," - ")</f>
        <v>0.68281938325991187</v>
      </c>
      <c r="D14" s="1157">
        <f>IF(ISNUMBER('Resol  Asuntos'!D14/NºAsuntos!G14),'Resol  Asuntos'!D14/NºAsuntos!G14," - ")</f>
        <v>0.22466960352422907</v>
      </c>
      <c r="E14" s="1158">
        <f>IF(ISNUMBER((NºAsuntos!C14+NºAsuntos!E14)/NºAsuntos!G14),(NºAsuntos!C14+NºAsuntos!E14)/NºAsuntos!G14," - ")</f>
        <v>2.1409691629955949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0.5668016194331984</v>
      </c>
      <c r="C17" s="498">
        <f>IF(ISNUMBER(NºAsuntos!I17/NºAsuntos!G17),NºAsuntos!I17/NºAsuntos!G17," - ")</f>
        <v>2.3071428571428569</v>
      </c>
      <c r="D17" s="499">
        <f>IF(ISNUMBER('Resol  Asuntos'!D17/NºAsuntos!G17),'Resol  Asuntos'!D17/NºAsuntos!G17," - ")</f>
        <v>0.22142857142857142</v>
      </c>
      <c r="E17" s="500">
        <f>IF(ISNUMBER((NºAsuntos!C17+NºAsuntos!E17)/NºAsuntos!G17),(NºAsuntos!C17+NºAsuntos!E17)/NºAsuntos!G17," - ")</f>
        <v>3.2214285714285715</v>
      </c>
      <c r="G17" s="523"/>
    </row>
    <row r="18" spans="1:7">
      <c r="A18" s="450" t="str">
        <f>Datos!A18</f>
        <v>Jdos. Violencia contra la mujer</v>
      </c>
      <c r="B18" s="497">
        <f>IF(ISNUMBER(NºAsuntos!G18/NºAsuntos!E18),NºAsuntos!G18/NºAsuntos!E18," - ")</f>
        <v>0.5714285714285714</v>
      </c>
      <c r="C18" s="498">
        <f>IF(ISNUMBER(NºAsuntos!I18/NºAsuntos!G18),NºAsuntos!I18/NºAsuntos!G18," - ")</f>
        <v>1.8333333333333333</v>
      </c>
      <c r="D18" s="499">
        <f>IF(ISNUMBER('Resol  Asuntos'!D18/NºAsuntos!G18),'Resol  Asuntos'!D18/NºAsuntos!G18," - ")</f>
        <v>0</v>
      </c>
      <c r="E18" s="500">
        <f>IF(ISNUMBER((NºAsuntos!C18+NºAsuntos!E18)/NºAsuntos!G18),(NºAsuntos!C18+NºAsuntos!E18)/NºAsuntos!G18," - ")</f>
        <v>2.8333333333333335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0.56699029126213596</v>
      </c>
      <c r="C23" s="1156">
        <f>IF(ISNUMBER(NºAsuntos!I23/NºAsuntos!G23),NºAsuntos!I23/NºAsuntos!G23," - ")</f>
        <v>2.2876712328767121</v>
      </c>
      <c r="D23" s="1159">
        <f>IF(ISNUMBER('Resol  Asuntos'!D23/NºAsuntos!G23),'Resol  Asuntos'!D23/NºAsuntos!G23," - ")</f>
        <v>0.21232876712328766</v>
      </c>
      <c r="E23" s="1158">
        <f>IF(ISNUMBER((NºAsuntos!C23+NºAsuntos!E23)/NºAsuntos!G23),(NºAsuntos!C23+NºAsuntos!E23)/NºAsuntos!G23," - ")</f>
        <v>3.2054794520547945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0.68127853881278544</v>
      </c>
      <c r="C31" s="1099">
        <f>IF(ISNUMBER(NºAsuntos!I31/NºAsuntos!G31),NºAsuntos!I31/NºAsuntos!G31," - ")</f>
        <v>1.3109919571045576</v>
      </c>
      <c r="D31" s="1100">
        <f>IF(ISNUMBER('Resol  Asuntos'!D31/NºAsuntos!G31),'Resol  Asuntos'!D31/NºAsuntos!G31," - ")</f>
        <v>0.21983914209115282</v>
      </c>
      <c r="E31" s="1101">
        <f>IF(ISNUMBER((NºAsuntos!C31+NºAsuntos!E31)/NºAsuntos!G31),(NºAsuntos!C31+NºAsuntos!E31)/NºAsuntos!G31," - ")</f>
        <v>2.5576407506702412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GZLuonpdlRC48+5TQ6eyhQ4OrAF2mnKo5YNE3Wwl1WJQ4g7vfNk+BKjnBHcD/e2bn+0Jd4c8Wnf2Ygoyb++Mg==" saltValue="4y5usXAb7Y78IswOb5Uu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AREVALO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2.75</v>
      </c>
      <c r="AN10" s="267">
        <f>IF(ISNUMBER('Resol  Asuntos'!D10/NºAsuntos!G10),'Resol  Asuntos'!D10/NºAsuntos!G10," - ")</f>
        <v>0</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v>
      </c>
      <c r="AJ12" s="243" t="str">
        <f>IF(ISNUMBER(Datos!BW12),Datos!BW12," - ")</f>
        <v xml:space="preserve"> - </v>
      </c>
      <c r="AK12" s="242" t="str">
        <f>IF(ISNUMBER(Datos!BX12),Datos!BX12," - ")</f>
        <v xml:space="preserve"> - </v>
      </c>
      <c r="AL12" s="266">
        <f>IF(ISNUMBER(NºAsuntos!G12/NºAsuntos!E12),NºAsuntos!G12/NºAsuntos!E12," - ")</f>
        <v>0.78260869565217395</v>
      </c>
      <c r="AM12" s="284">
        <f>IF(ISNUMBER(((NºAsuntos!I12/NºAsuntos!G12)*11)/factor_trimestre),((NºAsuntos!I12/NºAsuntos!G12)*11)/factor_trimestre," - ")</f>
        <v>7.5533333333333328</v>
      </c>
      <c r="AN12" s="267">
        <f>IF(ISNUMBER('Resol  Asuntos'!D12/NºAsuntos!G12),'Resol  Asuntos'!D12/NºAsuntos!G12," - ")</f>
        <v>0.22666666666666666</v>
      </c>
      <c r="AO12" s="268">
        <f>IF(ISNUMBER((NºAsuntos!C12+NºAsuntos!E12)/NºAsuntos!G12),(NºAsuntos!C12+NºAsuntos!E12)/NºAsuntos!G12," - ")</f>
        <v>2.1488888888888891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202</v>
      </c>
      <c r="Y14" s="1165">
        <f t="shared" si="6"/>
        <v>206</v>
      </c>
      <c r="Z14" s="1165">
        <f t="shared" si="6"/>
        <v>0</v>
      </c>
      <c r="AA14" s="1165">
        <f t="shared" si="6"/>
        <v>1</v>
      </c>
      <c r="AB14" s="1165">
        <f t="shared" si="6"/>
        <v>308</v>
      </c>
      <c r="AC14" s="1165">
        <f t="shared" si="6"/>
        <v>1</v>
      </c>
      <c r="AD14" s="1165">
        <f t="shared" si="6"/>
        <v>0</v>
      </c>
      <c r="AE14" s="1169">
        <f t="shared" si="6"/>
        <v>0</v>
      </c>
      <c r="AF14" s="1162">
        <f t="shared" si="6"/>
        <v>0</v>
      </c>
      <c r="AG14" s="1170">
        <f t="shared" si="6"/>
        <v>0</v>
      </c>
      <c r="AH14" s="1167">
        <f t="shared" si="6"/>
        <v>0</v>
      </c>
      <c r="AI14" s="1162">
        <f t="shared" si="6"/>
        <v>102</v>
      </c>
      <c r="AJ14" s="1164">
        <f t="shared" si="6"/>
        <v>0</v>
      </c>
      <c r="AK14" s="1167">
        <f>SUBTOTAL(9,AK9:AK13)</f>
        <v>0</v>
      </c>
      <c r="AL14" s="1171">
        <f>IF(ISNUMBER(NºAsuntos!G14/NºAsuntos!E14),NºAsuntos!G14/NºAsuntos!E14," - ")</f>
        <v>0.78275862068965518</v>
      </c>
      <c r="AM14" s="1171">
        <f>IF(ISNUMBER(((NºAsuntos!I14/NºAsuntos!G14)*11)/factor_trimestre),((NºAsuntos!I14/NºAsuntos!G14)*11)/factor_trimestre," - ")</f>
        <v>7.5110132158590304</v>
      </c>
      <c r="AN14" s="1172">
        <f>IF(ISNUMBER('Resol  Asuntos'!D14/NºAsuntos!G14),'Resol  Asuntos'!D14/NºAsuntos!G14," - ")</f>
        <v>0.22466960352422907</v>
      </c>
      <c r="AO14" s="1173">
        <f>IF(ISNUMBER((NºAsuntos!C14+NºAsuntos!E14)/NºAsuntos!G14),(NºAsuntos!C14+NºAsuntos!E14)/NºAsuntos!G14," - ")</f>
        <v>2.1409691629955949</v>
      </c>
      <c r="AP14" s="1174" t="str">
        <f t="shared" si="2"/>
        <v xml:space="preserve"> - </v>
      </c>
      <c r="AQ14" s="1174" t="str">
        <f>IF(ISNUMBER((H14-W14+K14)/(F14)),(H14-W14+K14)/(F14)," - ")</f>
        <v xml:space="preserve"> - </v>
      </c>
      <c r="AR14" s="1175">
        <f>IF(ISNUMBER((Datos!P14-Datos!Q14)/(Datos!R14-Datos!P14+Datos!Q14)),(Datos!P14-Datos!Q14)/(Datos!R14-Datos!P14+Datos!Q14)," - ")</f>
        <v>-0.21628498727735368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432</v>
      </c>
      <c r="G17" s="373">
        <f>IF(ISNUMBER(IF(D_I="SI",Datos!I17,Datos!I17+Datos!AC17)),IF(D_I="SI",Datos!I17,Datos!I17+Datos!AC17)," - ")</f>
        <v>408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280</v>
      </c>
      <c r="X17" s="240">
        <f>IF(ISNUMBER(Datos!Q17),Datos!Q17," - ")</f>
        <v>18</v>
      </c>
      <c r="Y17" s="374">
        <f t="shared" ref="Y17:Y22" si="9">SUM(W17:X17)</f>
        <v>298</v>
      </c>
      <c r="Z17" s="375" t="str">
        <f>IF(ISNUMBER(Datos!CC17),Datos!CC17," - ")</f>
        <v xml:space="preserve"> - </v>
      </c>
      <c r="AA17" s="372">
        <f>IF(ISNUMBER(IF(D_I="SI",Datos!L17,Datos!L17+Datos!AF17)),IF(D_I="SI",Datos!L17,Datos!L17+Datos!AF17)," - ")</f>
        <v>646</v>
      </c>
      <c r="AB17" s="374">
        <f>IF(ISNUMBER(Datos!R17),Datos!R17," - ")</f>
        <v>5</v>
      </c>
      <c r="AC17" s="374">
        <f t="shared" si="8"/>
        <v>651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v>
      </c>
      <c r="AJ17" s="245" t="str">
        <f>IF(ISNUMBER(Datos!BW17),Datos!BW17," - ")</f>
        <v xml:space="preserve"> - </v>
      </c>
      <c r="AK17" s="246" t="str">
        <f>IF(ISNUMBER(Datos!BX17),Datos!BX17," - ")</f>
        <v xml:space="preserve"> - </v>
      </c>
      <c r="AL17" s="266">
        <f>IF(ISNUMBER(NºAsuntos!G17/NºAsuntos!E17),NºAsuntos!G17/NºAsuntos!E17," - ")</f>
        <v>0.5668016194331984</v>
      </c>
      <c r="AM17" s="284">
        <f>IF(ISNUMBER(((NºAsuntos!I17/NºAsuntos!G17)*11)/factor_trimestre),((NºAsuntos!I17/NºAsuntos!G17)*11)/factor_trimestre," - ")</f>
        <v>25.378571428571426</v>
      </c>
      <c r="AN17" s="267">
        <f>IF(ISNUMBER('Resol  Asuntos'!D17/NºAsuntos!G17),'Resol  Asuntos'!D17/NºAsuntos!G17," - ")</f>
        <v>0.22142857142857142</v>
      </c>
      <c r="AO17" s="268">
        <f>IF(ISNUMBER((NºAsuntos!C17+NºAsuntos!E17)/NºAsuntos!G17),(NºAsuntos!C17+NºAsuntos!E17)/NºAsuntos!G17," - ")</f>
        <v>3.2214285714285715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0.5714285714285714</v>
      </c>
      <c r="AM18" s="284">
        <f>IF(ISNUMBER(((NºAsuntos!I18/NºAsuntos!G18)*11)/factor_trimestre),((NºAsuntos!I18/NºAsuntos!G18)*11)/factor_trimestre," - ")</f>
        <v>20.166666666666664</v>
      </c>
      <c r="AN18" s="267">
        <f>IF(ISNUMBER('Resol  Asuntos'!D18/NºAsuntos!G18),'Resol  Asuntos'!D18/NºAsuntos!G18," - ")</f>
        <v>0</v>
      </c>
      <c r="AO18" s="268">
        <f>IF(ISNUMBER((NºAsuntos!C18+NºAsuntos!E18)/NºAsuntos!G18),(NºAsuntos!C18+NºAsuntos!E18)/NºAsuntos!G18," - ")</f>
        <v>2.8333333333333335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432</v>
      </c>
      <c r="G23" s="1163">
        <f>SUBTOTAL(9,G16:G22)</f>
        <v>421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292</v>
      </c>
      <c r="X23" s="1164">
        <f t="shared" si="14"/>
        <v>18</v>
      </c>
      <c r="Y23" s="1165">
        <f t="shared" si="14"/>
        <v>310</v>
      </c>
      <c r="Z23" s="1165">
        <f t="shared" si="14"/>
        <v>0</v>
      </c>
      <c r="AA23" s="1165">
        <f t="shared" si="14"/>
        <v>668</v>
      </c>
      <c r="AB23" s="1165">
        <f t="shared" si="14"/>
        <v>5</v>
      </c>
      <c r="AC23" s="1165">
        <f t="shared" si="14"/>
        <v>673</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0.56699029126213596</v>
      </c>
      <c r="AM23" s="1171">
        <f>IF(ISNUMBER(((NºAsuntos!I23/NºAsuntos!G23)*11)/factor_trimestre),((NºAsuntos!I23/NºAsuntos!G23)*11)/factor_trimestre," - ")</f>
        <v>25.164383561643834</v>
      </c>
      <c r="AN23" s="1172">
        <f>IF(ISNUMBER('Resol  Asuntos'!D23/NºAsuntos!G23),'Resol  Asuntos'!D23/NºAsuntos!G23," - ")</f>
        <v>0.21232876712328766</v>
      </c>
      <c r="AO23" s="1173">
        <f>IF(ISNUMBER((NºAsuntos!C23+NºAsuntos!E23)/NºAsuntos!G23),(NºAsuntos!C23+NºAsuntos!E23)/NºAsuntos!G23," - ")</f>
        <v>3.2054794520547945</v>
      </c>
      <c r="AP23" s="1174" t="str">
        <f t="shared" si="2"/>
        <v xml:space="preserve"> - </v>
      </c>
      <c r="AQ23" s="1174">
        <f>IF(ISNUMBER((H23-W23+K23)/(F23)),(H23-W23+K23)/(F23)," - ")</f>
        <v>-0.67592592592592593</v>
      </c>
      <c r="AR23" s="1175">
        <f>IF(ISNUMBER((Datos!P23-Datos!Q23)/(Datos!R23-Datos!P23+Datos!Q23)),(Datos!P23-Datos!Q23)/(Datos!R23-Datos!P23+Datos!Q23)," - ")</f>
        <v>-0.6428571428571429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432</v>
      </c>
      <c r="G31" s="1118">
        <f t="shared" si="20"/>
        <v>421</v>
      </c>
      <c r="H31" s="1117">
        <f t="shared" si="20"/>
        <v>0</v>
      </c>
      <c r="I31" s="1119">
        <f t="shared" si="20"/>
        <v>0</v>
      </c>
      <c r="J31" s="1119">
        <f t="shared" si="20"/>
        <v>0</v>
      </c>
      <c r="K31" s="1180">
        <f t="shared" si="20"/>
        <v>0</v>
      </c>
      <c r="L31" s="1119">
        <f t="shared" si="20"/>
        <v>126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v>
      </c>
      <c r="X31" s="1118">
        <f t="shared" si="21"/>
        <v>220</v>
      </c>
      <c r="Y31" s="1125">
        <f t="shared" si="21"/>
        <v>516</v>
      </c>
      <c r="Z31" s="1125">
        <f t="shared" si="21"/>
        <v>0</v>
      </c>
      <c r="AA31" s="1125">
        <f t="shared" si="21"/>
        <v>669</v>
      </c>
      <c r="AB31" s="1125">
        <f t="shared" si="21"/>
        <v>313</v>
      </c>
      <c r="AC31" s="1125">
        <f t="shared" si="21"/>
        <v>674</v>
      </c>
      <c r="AD31" s="1125">
        <f t="shared" si="21"/>
        <v>0</v>
      </c>
      <c r="AE31" s="1127">
        <f t="shared" si="21"/>
        <v>0</v>
      </c>
      <c r="AF31" s="1128">
        <f t="shared" si="21"/>
        <v>0</v>
      </c>
      <c r="AG31" s="1129">
        <f t="shared" si="21"/>
        <v>0</v>
      </c>
      <c r="AH31" s="1127">
        <f t="shared" si="21"/>
        <v>0</v>
      </c>
      <c r="AI31" s="1117">
        <f t="shared" si="21"/>
        <v>164</v>
      </c>
      <c r="AJ31" s="1117">
        <f t="shared" si="21"/>
        <v>0</v>
      </c>
      <c r="AK31" s="1127">
        <f t="shared" si="21"/>
        <v>0</v>
      </c>
      <c r="AL31" s="1183">
        <f>IF(ISNUMBER(NºAsuntos!G31/NºAsuntos!E31),NºAsuntos!G31/NºAsuntos!E31," - ")</f>
        <v>0.68127853881278544</v>
      </c>
      <c r="AM31" s="1184">
        <f>IF(ISNUMBER(((NºAsuntos!I31/NºAsuntos!G31)*11)/factor_trimestre),((NºAsuntos!I31/NºAsuntos!G31)*11)/factor_trimestre," - ")</f>
        <v>14.420911528150134</v>
      </c>
      <c r="AN31" s="1184">
        <f>IF(ISNUMBER('Resol  Asuntos'!D31/NºAsuntos!G31),'Resol  Asuntos'!D31/NºAsuntos!G31," - ")</f>
        <v>0.21983914209115282</v>
      </c>
      <c r="AO31" s="1185">
        <f>IF(ISNUMBER((NºAsuntos!C31+NºAsuntos!E31)/NºAsuntos!G31),(NºAsuntos!C31+NºAsuntos!E31)/NºAsuntos!G31," - ")</f>
        <v>2.5576407506702412</v>
      </c>
      <c r="AP31" s="1186" t="str">
        <f t="shared" si="2"/>
        <v xml:space="preserve"> - </v>
      </c>
      <c r="AQ31" s="1187">
        <f>IF(OR(ISNUMBER(FIND("01",Criterios!A8,1)),ISNUMBER(FIND("02",Criterios!A8,1)),ISNUMBER(FIND("03",Criterios!A8,1)),ISNUMBER(FIND("04",Criterios!A8,1))),(I31-W31+K31)/(F31-K31),(H31-W31+K31)/(F31-K31))</f>
        <v>-0.68518518518518523</v>
      </c>
      <c r="AR31" s="1188">
        <f>IF(ISNUMBER((Datos!P31-Datos!Q31)/(Datos!R31-Datos!P31+Datos!Q31)),(Datos!P31-Datos!Q31)/(Datos!R31-Datos!P31+Datos!Q31)," - ")</f>
        <v>-0.23095823095823095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120.28571428571429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223.08384074154722</v>
      </c>
      <c r="G33" s="277">
        <f>IF(ISNUMBER(STDEV(G8:G30)),STDEV(G8:G30),"-")</f>
        <v>201.07769168965041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137.70361547281797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46.365011438737788</v>
      </c>
      <c r="AJ33" s="276">
        <f t="shared" si="25"/>
        <v>0</v>
      </c>
      <c r="AK33" s="278">
        <f t="shared" si="25"/>
        <v>0</v>
      </c>
      <c r="AL33" s="273">
        <f t="shared" si="25"/>
        <v>0.12070288841658379</v>
      </c>
      <c r="AM33" s="274">
        <f t="shared" si="25"/>
        <v>9.9896049810322491</v>
      </c>
      <c r="AN33" s="274">
        <f t="shared" si="25"/>
        <v>0.11437063441195026</v>
      </c>
      <c r="AO33" s="275">
        <f t="shared" si="25"/>
        <v>0.76645856577573046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dVnkg9BF1JZrH5Q2FFkTYib2JykpM7U4g7yM2UVOmFTYy9abfjYY9nTcu3EG6UkoW5Mo6gHOQ3LI8kEHqME+w==" saltValue="hyyOBvDMgC5QgQlik7w5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AREVALO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4</v>
      </c>
      <c r="F10" s="393">
        <f>IF(ISNUMBER((Datos!K10-Datos!U10)/Datos!U10),(Datos!K10-Datos!U10)/Datos!U10," - ")</f>
        <v>3</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-0.30136986301369861</v>
      </c>
      <c r="I12" s="395">
        <f>IF(ISNUMBER((Tasas!C12-Datos!BE12)/Datos!BE12),(Tasas!C12-Datos!BE12)/Datos!BE12," - ")</f>
        <v>3.875850340136059E-2</v>
      </c>
      <c r="J12" s="394">
        <f>IF(ISNUMBER((Tasas!D12-Datos!BF12)/Datos!BF12),(Tasas!D12-Datos!BF12)/Datos!BF12," - ")</f>
        <v>-0.41812409812409812</v>
      </c>
      <c r="K12" s="396">
        <f>IF(ISNUMBER((Tasas!E12-Datos!BG12)/Datos!BG12),(Tasas!E12-Datos!BG12)/Datos!BG12," - ")</f>
        <v>0.29369655950366624</v>
      </c>
      <c r="M12" t="e">
        <f>IF(Monitorios="SI",Datos!CE12,0)</f>
        <v>#REF!</v>
      </c>
      <c r="N12" t="e">
        <f>IF(Monitorios="SI",Datos!CF12,0)</f>
        <v>#REF!</v>
      </c>
      <c r="O12" t="e">
        <f>IF(Monitorios="SI",Datos!CG12,0)</f>
        <v>#REF!</v>
      </c>
      <c r="P12" t="e">
        <f>IF(Monitorios="SI",Datos!CH12,0)</f>
        <v>#REF!</v>
      </c>
      <c r="Q12">
        <f>IF(J_V="SI",0,Datos!AG12)</f>
        <v>80</v>
      </c>
      <c r="R12">
        <f>IF(J_V="SI",0,Datos!AH12)</f>
        <v>168</v>
      </c>
      <c r="S12">
        <f>IF(J_V="SI",0,Datos!AI12)</f>
        <v>138</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-0.30136986301369861</v>
      </c>
      <c r="I14" s="402">
        <f>IF(ISNUMBER((Tasas!C14-Datos!BE14)/Datos!BE14),(Tasas!C14-Datos!BE14)/Datos!BE14," - ")</f>
        <v>3.4680391980580753E-2</v>
      </c>
      <c r="J14" s="400">
        <f>IF(ISNUMBER((Tasas!D14-Datos!BF14)/Datos!BF14),(Tasas!D14-Datos!BF14)/Datos!BF14," - ")</f>
        <v>-0.42227816236626808</v>
      </c>
      <c r="K14" s="403">
        <f>IF(ISNUMBER((Tasas!E14-Datos!BG14)/Datos!BG14),(Tasas!E14-Datos!BG14)/Datos!BG14," - ")</f>
        <v>0.28979278176408041</v>
      </c>
      <c r="M14" t="e">
        <f>IF(Monitorios="SI",Datos!CE14,0)</f>
        <v>#REF!</v>
      </c>
      <c r="N14" t="e">
        <f>IF(Monitorios="SI",Datos!CF14,0)</f>
        <v>#REF!</v>
      </c>
      <c r="O14" t="e">
        <f>IF(Monitorios="SI",Datos!CG14,0)</f>
        <v>#REF!</v>
      </c>
      <c r="P14" t="e">
        <f>IF(Monitorios="SI",Datos!CH14,0)</f>
        <v>#REF!</v>
      </c>
      <c r="Q14">
        <f>IF(J_V="SI",0,Datos!AG14)</f>
        <v>80</v>
      </c>
      <c r="R14">
        <f>IF(J_V="SI",0,Datos!AH14)</f>
        <v>168</v>
      </c>
      <c r="S14">
        <f>IF(J_V="SI",0,Datos!AI14)</f>
        <v>138</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0.53962264150943395</v>
      </c>
      <c r="E17" s="393">
        <f>IF(ISNUMBER(
   IF(D_I="SI",(Datos!J17-Datos!T17)/Datos!T17,(Datos!J17+Datos!AD17-(Datos!T17+Datos!AL17))/(Datos!T17+Datos!AL17))
     ),IF(D_I="SI",(Datos!J17-Datos!T17)/Datos!T17,(Datos!J17+Datos!AD17-(Datos!T17+Datos!AL17))/(Datos!T17+Datos!AL17))," - ")</f>
        <v>-6.4393939393939392E-2</v>
      </c>
      <c r="F17" s="393">
        <f>IF(ISNUMBER(
   IF(D_I="SI",(Datos!K17-Datos!U17)/Datos!U17,(Datos!K17+Datos!AE17-(Datos!U17+Datos!AM17))/(Datos!U17+Datos!AM17))
     ),IF(D_I="SI",(Datos!K17-Datos!U17)/Datos!U17,(Datos!K17+Datos!AE17-(Datos!U17+Datos!AM17))/(Datos!U17+Datos!AM17))," - ")</f>
        <v>-0.23705722070844687</v>
      </c>
      <c r="G17" s="394">
        <f>IF(ISNUMBER(
   IF(D_I="SI",(Datos!L17-Datos!V17)/Datos!V17,(Datos!L17+Datos!AF17-(Datos!V17+Datos!AN17))/(Datos!V17+Datos!AN17))
     ),IF(D_I="SI",(Datos!L17-Datos!V17)/Datos!V17,(Datos!L17+Datos!AF17-(Datos!V17+Datos!AN17))/(Datos!V17+Datos!AN17))," - ")</f>
        <v>0.58333333333333337</v>
      </c>
      <c r="H17" s="244">
        <f>IF(ISNUMBER((Datos!M17-Datos!W17)/Datos!W17),(Datos!M17-Datos!W17)/Datos!W17," - ")</f>
        <v>-0.33333333333333331</v>
      </c>
      <c r="I17" s="395">
        <f>IF(ISNUMBER((Tasas!C17-Datos!BE17)/Datos!BE17),(Tasas!C17-Datos!BE17)/Datos!BE17," - ")</f>
        <v>1.0752976190476189</v>
      </c>
      <c r="J17" s="394">
        <f>IF(ISNUMBER((Tasas!D17-Datos!BF17)/Datos!BF17),(Tasas!D17-Datos!BF17)/Datos!BF17," - ")</f>
        <v>-0.1261904761904763</v>
      </c>
      <c r="K17" s="396">
        <f>IF(ISNUMBER((Tasas!E17-Datos!BG17)/Datos!BG17),(Tasas!E17-Datos!BG17)/Datos!BG17," - ")</f>
        <v>0.49087551792469825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0.69230769230769229</v>
      </c>
      <c r="H18" s="244" t="str">
        <f>IF(ISNUMBER((Datos!M18-Datos!W18)/Datos!W18),(Datos!M18-Datos!W18)/Datos!W18," - ")</f>
        <v xml:space="preserve"> - </v>
      </c>
      <c r="I18" s="395">
        <f>IF(ISNUMBER((Tasas!C18-Datos!BE18)/Datos!BE18),(Tasas!C18-Datos!BE18)/Datos!BE18," - ")</f>
        <v>2.9487179487179485</v>
      </c>
      <c r="J18" s="394" t="str">
        <f>IF(ISNUMBER((Tasas!D18-Datos!BF18)/Datos!BF18),(Tasas!D18-Datos!BF18)/Datos!BF18," - ")</f>
        <v xml:space="preserve"> - </v>
      </c>
      <c r="K18" s="396">
        <f>IF(ISNUMBER((Tasas!E18-Datos!BG18)/Datos!BG18),(Tasas!E18-Datos!BG18)/Datos!BG18," - ")</f>
        <v>0.93495934959349614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0.50896057347670254</v>
      </c>
      <c r="E23" s="399">
        <f>IF(ISNUMBER(
   IF(D_I="SI",(Datos!J23-Datos!T23)/Datos!T23,(Datos!J23+Datos!AD23-(Datos!T23+Datos!AL23))/(Datos!T23+Datos!AL23))
     ),IF(D_I="SI",(Datos!J23-Datos!T23)/Datos!T23,(Datos!J23+Datos!AD23-(Datos!T23+Datos!AL23))/(Datos!T23+Datos!AL23))," - ")</f>
        <v>-7.2072072072072071E-2</v>
      </c>
      <c r="F23" s="399">
        <f>IF(ISNUMBER(
   IF(D_I="SI",(Datos!K23-Datos!U23)/Datos!U23,(Datos!K23+Datos!AE23-(Datos!U23+Datos!AM23))/(Datos!U23+Datos!AM23))
     ),IF(D_I="SI",(Datos!K23-Datos!U23)/Datos!U23,(Datos!K23+Datos!AE23-(Datos!U23+Datos!AM23))/(Datos!U23+Datos!AM23))," - ")</f>
        <v>-0.26075949367088608</v>
      </c>
      <c r="G23" s="400">
        <f>IF(ISNUMBER(
   IF(D_I="SI",(Datos!L23-Datos!V23)/Datos!V23,(Datos!L23+Datos!AF23-(Datos!V23+Datos!AN23))/(Datos!V23+Datos!AN23))
     ),IF(D_I="SI",(Datos!L23-Datos!V23)/Datos!V23,(Datos!L23+Datos!AF23-(Datos!V23+Datos!AN23))/(Datos!V23+Datos!AN23))," - ")</f>
        <v>0.58669833729216148</v>
      </c>
      <c r="H23" s="401">
        <f>IF(ISNUMBER((Datos!M23-Datos!W23)/Datos!W23),(Datos!M23-Datos!W23)/Datos!W23," - ")</f>
        <v>-0.33333333333333331</v>
      </c>
      <c r="I23" s="402">
        <f>IF(ISNUMBER((Tasas!C23-Datos!BE23)/Datos!BE23),(Tasas!C23-Datos!BE23)/Datos!BE23," - ")</f>
        <v>1.1463898740767253</v>
      </c>
      <c r="J23" s="400">
        <f>IF(ISNUMBER((Tasas!D23-Datos!BF23)/Datos!BF23),(Tasas!D23-Datos!BF23)/Datos!BF23," - ")</f>
        <v>-9.8173515981735238E-2</v>
      </c>
      <c r="K23" s="403">
        <f>IF(ISNUMBER((Tasas!E23-Datos!BG23)/Datos!BG23),(Tasas!E23-Datos!BG23)/Datos!BG23," - ")</f>
        <v>0.51818271410269034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0.26242236024844723</v>
      </c>
      <c r="E31" s="409">
        <f>IF(ISNUMBER(
   IF(J_V="SI",(Datos!J31-Datos!T31)/Datos!T31,(Datos!J31+Datos!Z31-(Datos!T31+Datos!AH31))/(Datos!T31+Datos!AH31))
     ),IF(J_V="SI",(Datos!J31-Datos!T31)/Datos!T31,(Datos!J31+Datos!Z31-(Datos!T31+Datos!AH31))/(Datos!T31+Datos!AH31))," - ")</f>
        <v>-6.8877551020408156E-2</v>
      </c>
      <c r="F31" s="409">
        <f>IF(ISNUMBER(
   IF(J_V="SI",(Datos!K31-Datos!U31)/Datos!U31,(Datos!K31+Datos!AA31-(Datos!U31+Datos!AI31))/(Datos!U31+Datos!AI31))
     ),IF(J_V="SI",(Datos!K31-Datos!U31)/Datos!U31,(Datos!K31+Datos!AA31-(Datos!U31+Datos!AI31))/(Datos!U31+Datos!AI31))," - ")</f>
        <v>-0.24570273003033366</v>
      </c>
      <c r="G31" s="410">
        <f>IF(ISNUMBER(
   IF(J_V="SI",(Datos!L31-Datos!V31)/Datos!V31,(Datos!L31+Datos!AB31-(Datos!V31+Datos!AJ31))/(Datos!V31+Datos!AJ31))
     ),IF(J_V="SI",(Datos!L31-Datos!V31)/Datos!V31,(Datos!L31+Datos!AB31-(Datos!V31+Datos!AJ31))/(Datos!V31+Datos!AJ31))," - ")</f>
        <v>0.2029520295202952</v>
      </c>
      <c r="H31" s="411">
        <f>IF(ISNUMBER((Datos!M31-Datos!W31)/Datos!W31),(Datos!M31-Datos!W31)/Datos!W31," - ")</f>
        <v>-0.31380753138075312</v>
      </c>
      <c r="I31" s="408">
        <f>IF(ISNUMBER((Tasas!C31-Datos!BE31)/Datos!BE31),(Tasas!C31-Datos!BE31)/Datos!BE31," - ")</f>
        <v>0.59479833404232152</v>
      </c>
      <c r="J31" s="409">
        <f>IF(ISNUMBER((Tasas!D31-Datos!BF31)/Datos!BF31),(Tasas!D31-Datos!BF31)/Datos!BF31," - ")</f>
        <v>-0.32894780392546252</v>
      </c>
      <c r="K31" s="410">
        <f>IF(ISNUMBER((Tasas!E31-Datos!BG31)/Datos!BG31),(Tasas!E31-Datos!BG31)/Datos!BG31," - ")</f>
        <v>0.38983884747959807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0.34428072527443027</v>
      </c>
      <c r="E33" s="303">
        <f t="shared" si="1"/>
        <v>2.0610624957517003</v>
      </c>
      <c r="F33" s="303">
        <f t="shared" si="1"/>
        <v>1.6851081874349252</v>
      </c>
      <c r="G33" s="304">
        <f t="shared" si="1"/>
        <v>6.1967827717711435E-2</v>
      </c>
      <c r="H33" s="310">
        <f t="shared" si="1"/>
        <v>1.8454118193275706E-2</v>
      </c>
      <c r="I33" s="302">
        <f t="shared" si="1"/>
        <v>1.1904344289557303</v>
      </c>
      <c r="J33" s="303">
        <f t="shared" si="1"/>
        <v>0.17821044690911617</v>
      </c>
      <c r="K33" s="304">
        <f t="shared" si="1"/>
        <v>0.257138545922663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OAW7PDNs1GN4Tqx6xRyR6hlU7TyKH/m562Ck6iQ/QEb7qIk/k31lC0P8VauY+unce7yG/MHiBzzV1gQbcbwg==" saltValue="/mmj3bwrCwtC5LuzqX8ai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